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drawings/drawing11.xml" ContentType="application/vnd.openxmlformats-officedocument.drawing+xml"/>
  <Override PartName="/xl/drawings/drawing12.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drawings/drawing13.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14.xml" ContentType="application/vnd.openxmlformats-officedocument.drawing+xml"/>
  <Override PartName="/xl/comments3.xml" ContentType="application/vnd.openxmlformats-officedocument.spreadsheetml.comments+xml"/>
  <Override PartName="/xl/drawings/drawing15.xml" ContentType="application/vnd.openxmlformats-officedocument.drawing+xml"/>
  <Override PartName="/xl/activeX/activeX12.xml" ContentType="application/vnd.ms-office.activeX+xml"/>
  <Override PartName="/xl/activeX/activeX12.bin" ContentType="application/vnd.ms-office.activeX"/>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drawings/drawing16.xml" ContentType="application/vnd.openxmlformats-officedocument.drawing+xml"/>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drawings/drawing17.xml" ContentType="application/vnd.openxmlformats-officedocument.drawing+xml"/>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drawings/drawing18.xml" ContentType="application/vnd.openxmlformats-officedocument.drawing+xml"/>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drawings/drawing19.xml" ContentType="application/vnd.openxmlformats-officedocument.drawing+xml"/>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drawings/drawing20.xml" ContentType="application/vnd.openxmlformats-officedocument.drawing+xml"/>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drawings/drawing21.xml" ContentType="application/vnd.openxmlformats-officedocument.drawing+xml"/>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drawings/drawing22.xml" ContentType="application/vnd.openxmlformats-officedocument.drawing+xml"/>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drawings/drawing23.xml" ContentType="application/vnd.openxmlformats-officedocument.drawing+xml"/>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drawings/drawing24.xml" ContentType="application/vnd.openxmlformats-officedocument.drawing+xml"/>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drawings/drawing25.xml" ContentType="application/vnd.openxmlformats-officedocument.drawing+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drawings/drawing26.xml" ContentType="application/vnd.openxmlformats-officedocument.drawing+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omments4.xml" ContentType="application/vnd.openxmlformats-officedocument.spreadsheetml.comments+xml"/>
  <Override PartName="/xl/comments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24226"/>
  <mc:AlternateContent xmlns:mc="http://schemas.openxmlformats.org/markup-compatibility/2006">
    <mc:Choice Requires="x15">
      <x15ac:absPath xmlns:x15ac="http://schemas.microsoft.com/office/spreadsheetml/2010/11/ac" url="M:\ees_mgmt\11_PSEG-Program Planning\Applications\2025 Active\Commercial Weatherization\"/>
    </mc:Choice>
  </mc:AlternateContent>
  <xr:revisionPtr revIDLastSave="0" documentId="13_ncr:1_{78F6D373-99CB-420B-A551-B68D22461D69}" xr6:coauthVersionLast="47" xr6:coauthVersionMax="47" xr10:uidLastSave="{00000000-0000-0000-0000-000000000000}"/>
  <workbookProtection workbookAlgorithmName="SHA-512" workbookHashValue="CrzFBEQ5ufBRUv8XgIB/TVc9UgwCjEkLFyKcgiMsTzR+tFz/BopTdksqgBd5kTrXory5+/qgfSNuOn0iwPk/VA==" workbookSaltValue="xGNSU0MlH7Gukp7oZA7xPA==" workbookSpinCount="100000" lockStructure="1"/>
  <bookViews>
    <workbookView xWindow="28680" yWindow="1140" windowWidth="29040" windowHeight="15840" tabRatio="653" firstSheet="1" activeTab="1" xr2:uid="{00000000-000D-0000-FFFF-FFFF00000000}"/>
  </bookViews>
  <sheets>
    <sheet name="Application Form" sheetId="42" state="veryHidden" r:id="rId1"/>
    <sheet name="Customer Information" sheetId="45" r:id="rId2"/>
    <sheet name="Ts and Cs" sheetId="22" r:id="rId3"/>
    <sheet name="Required Documents" sheetId="26" r:id="rId4"/>
    <sheet name="AssignmentForm" sheetId="25" state="veryHidden" r:id="rId5"/>
    <sheet name="Guidelines " sheetId="24" r:id="rId6"/>
    <sheet name="Smart T-Stats" sheetId="41" state="veryHidden" r:id="rId7"/>
    <sheet name="Glossary" sheetId="57" r:id="rId8"/>
    <sheet name="Insulation Eligibility" sheetId="55" r:id="rId9"/>
    <sheet name="HPwES H&amp;S" sheetId="51" state="veryHidden" r:id="rId10"/>
    <sheet name="Worksheet" sheetId="50" r:id="rId11"/>
    <sheet name="Inspection Form" sheetId="34" state="veryHidden" r:id="rId12"/>
    <sheet name="References" sheetId="3" state="veryHidden" r:id="rId13"/>
    <sheet name="Air Flow References" sheetId="54" state="veryHidden" r:id="rId14"/>
    <sheet name="Tables" sheetId="48" state="veryHidden" r:id="rId15"/>
    <sheet name="ProposedEquipment0" sheetId="6" state="veryHidden" r:id="rId16"/>
    <sheet name="Admin" sheetId="43" state="veryHidden" r:id="rId17"/>
    <sheet name="EFS Pre-Approval" sheetId="53" state="veryHidden" r:id="rId18"/>
    <sheet name="AIRFLOW FORM" sheetId="9" state="veryHidden" r:id="rId19"/>
    <sheet name="AIRFLOW FORM 2" sheetId="15" state="veryHidden" r:id="rId20"/>
    <sheet name="AIRFLOW FORM 3" sheetId="29" state="veryHidden" r:id="rId21"/>
    <sheet name="AIRFLOW FORM 4" sheetId="31" state="veryHidden" r:id="rId22"/>
    <sheet name="AIRFLOW FORM 5" sheetId="30" state="veryHidden" r:id="rId23"/>
    <sheet name="AIRFLOW FORM 6" sheetId="40" state="veryHidden" r:id="rId24"/>
    <sheet name="AIRFLOW FORM 7" sheetId="39" state="veryHidden" r:id="rId25"/>
    <sheet name="AIRFLOW FORM 8" sheetId="38" state="veryHidden" r:id="rId26"/>
    <sheet name="AIRFLOW FORM 9" sheetId="37" state="veryHidden" r:id="rId27"/>
    <sheet name="AIRFLOW FORM 10" sheetId="36" state="veryHidden" r:id="rId28"/>
    <sheet name="Project Completion Form" sheetId="23" state="veryHidden" r:id="rId29"/>
    <sheet name="Project Completion Form HPwES" sheetId="52" state="veryHidden" r:id="rId30"/>
    <sheet name="Qualifying_Index" sheetId="35" state="veryHidden" r:id="rId31"/>
    <sheet name="Development" sheetId="18" state="veryHidden" r:id="rId32"/>
  </sheets>
  <externalReferences>
    <externalReference r:id="rId33"/>
    <externalReference r:id="rId34"/>
    <externalReference r:id="rId35"/>
    <externalReference r:id="rId36"/>
    <externalReference r:id="rId37"/>
  </externalReferences>
  <definedNames>
    <definedName name="AC_Types">References!$AU$82:$AU$89</definedName>
    <definedName name="AddRange">" "</definedName>
    <definedName name="Air_Flow_Refernce_Tabs">'Air Flow References'!$A$1</definedName>
    <definedName name="AirCurtainsInputs">Worksheet!$D$147,Worksheet!$D$150,Worksheet!$D$152,Worksheet!$D$154</definedName>
    <definedName name="AirSealingInputs">Worksheet!$D$90:$F$90,Worksheet!$D$92,Worksheet!$D$94,Worksheet!$D$97</definedName>
    <definedName name="attic" localSheetId="9">References!$AY$59:$AY$66</definedName>
    <definedName name="attic_code">References!$AY$59:$AZ$66</definedName>
    <definedName name="attic_rvalues">References!$AY$69:$AZ$76</definedName>
    <definedName name="atticins">References!$AY$69:$AY$76</definedName>
    <definedName name="bypass">References!$BB$59:$BB$66</definedName>
    <definedName name="bypass_codes">References!$BB$59:$BC$66</definedName>
    <definedName name="CFM_AirFlow_Est">References!#REF!</definedName>
    <definedName name="Chiller_Type" localSheetId="27">'[1]Chiller NC'!$B$15:$B$17,'[1]Chiller NC'!#REF!</definedName>
    <definedName name="Chiller_Type" localSheetId="19">'[1]Chiller NC'!$B$15:$B$17,'[1]Chiller NC'!#REF!</definedName>
    <definedName name="Chiller_Type" localSheetId="20">'[1]Chiller NC'!$B$15:$B$17,'[1]Chiller NC'!#REF!</definedName>
    <definedName name="Chiller_Type" localSheetId="21">'[1]Chiller NC'!$B$15:$B$17,'[1]Chiller NC'!#REF!</definedName>
    <definedName name="Chiller_Type" localSheetId="22">'[1]Chiller NC'!$B$15:$B$17,'[1]Chiller NC'!#REF!</definedName>
    <definedName name="Chiller_Type" localSheetId="23">'[1]Chiller NC'!$B$15:$B$17,'[1]Chiller NC'!#REF!</definedName>
    <definedName name="Chiller_Type" localSheetId="24">'[1]Chiller NC'!$B$15:$B$17,'[1]Chiller NC'!#REF!</definedName>
    <definedName name="Chiller_Type" localSheetId="25">'[1]Chiller NC'!$B$15:$B$17,'[1]Chiller NC'!#REF!</definedName>
    <definedName name="Chiller_Type" localSheetId="26">'[1]Chiller NC'!$B$15:$B$17,'[1]Chiller NC'!#REF!</definedName>
    <definedName name="Color">References!$AW$59:$AW$62</definedName>
    <definedName name="Color2">References!$AW$65:$AW$68</definedName>
    <definedName name="Combustion_Equip">References!$AU$52:$AU$56</definedName>
    <definedName name="CON">References!$BB$69:$BB$77</definedName>
    <definedName name="CON_CODES">References!$BB$69:$BC$77</definedName>
    <definedName name="condition">References!$AW$71:$AW$76</definedName>
    <definedName name="Conditioned">References!$AU$65:$AU$67</definedName>
    <definedName name="Conditioned_Unconditioned">References!$AU$70:$AU$75</definedName>
    <definedName name="Conditioned_Unconditioned2">References!$AU$70:$AU$74</definedName>
    <definedName name="Contractor_Lookup" localSheetId="0">[2]References!$K$18:$N$26</definedName>
    <definedName name="Contractor_Lookup" localSheetId="11">References!#REF!</definedName>
    <definedName name="Contractor_Lookup">References!#REF!</definedName>
    <definedName name="Cooling_Source">References!$J$4:$J$17</definedName>
    <definedName name="Count">References!$BC$30:$BC$51</definedName>
    <definedName name="CrawlSpace_Duct_Attribute">References!$K$21:$K$24</definedName>
    <definedName name="DAC">References!$A$65:$A$68</definedName>
    <definedName name="DHW_Equipment">References!$AU$59:$AU$62</definedName>
    <definedName name="Distribution">References!$BA$52:$BA$54</definedName>
    <definedName name="Dual_Fuel_Thermostat">#REF!</definedName>
    <definedName name="Duct_Attribute">References!$J$21:$J$23</definedName>
    <definedName name="Duct_HeatingCooling_System">References!$R$88:$R$94</definedName>
    <definedName name="Duct_Location">References!$J$28:$J$32</definedName>
    <definedName name="DuctSealingInputs">Worksheet!$D$48,Worksheet!$D$52,Worksheet!$D$54,Worksheet!$D$56,Worksheet!$D$58,Worksheet!$D$60,Worksheet!$D$62,Worksheet!$J$52,Worksheet!$J$54,Worksheet!$J$56,Worksheet!$J$58,Worksheet!$J$60,Worksheet!$J$62,Worksheet!$D$66,Worksheet!$D$68,Worksheet!$D$70,Worksheet!$D$72,Worksheet!$D$74,Worksheet!$D$76</definedName>
    <definedName name="Efficiency" localSheetId="0">[2]References!$A$10:$D$15</definedName>
    <definedName name="Efficiency" localSheetId="11">References!#REF!</definedName>
    <definedName name="Efficiency">References!#REF!</definedName>
    <definedName name="Equipment_Type" localSheetId="0">[2]References!$A$2:$A$5</definedName>
    <definedName name="Equipment_Type" localSheetId="9">References!#REF!</definedName>
    <definedName name="Equipment_Type" localSheetId="10">References!#REF!</definedName>
    <definedName name="Equipment_Type">References!#REF!</definedName>
    <definedName name="Equipment1" localSheetId="0">[2]Worksheet!$C$28:$H$28,[2]Worksheet!$O$28,[2]Worksheet!$Q$28:$Q$28,[2]Worksheet!$U$28:$W$28,[2]Worksheet!$F$31:$X$31</definedName>
    <definedName name="Equipment10" localSheetId="0">[2]Worksheet!$C$67:$H$67,[2]Worksheet!$O$67:$Q$67,[2]Worksheet!$U$67:$W$67,[2]Worksheet!$F$70:$Q$70,[2]Worksheet!$U$70:$X$70</definedName>
    <definedName name="Equipment2" localSheetId="0">[2]Worksheet!$C$35:$H$35,[2]Worksheet!$O$35,[2]Worksheet!$Q$35,[2]Worksheet!$U$35:$W$35,[2]Worksheet!$F$38:$H$38,[2]Worksheet!$O$38,[2]Worksheet!$Q$38,[2]Worksheet!$U$38:$X$38</definedName>
    <definedName name="Equipment3" localSheetId="0">[2]Worksheet!$C$42:$H$42,[2]Worksheet!$O$42,[2]Worksheet!$Q$42,[2]Worksheet!$U$42:$W$42,[2]Worksheet!$F$45:$H$45,[2]Worksheet!$O$45,[2]Worksheet!$Q$45,[2]Worksheet!$U$45:$X$45</definedName>
    <definedName name="Equipment4" localSheetId="0">[2]Worksheet!$C$49:$H$49,[2]Worksheet!$O$49,[2]Worksheet!$U$49:$W$49,[2]Worksheet!$Q$49,[2]Worksheet!$U$52:$X$52,[2]Worksheet!$O$52,[2]Worksheet!$Q$52,[2]Worksheet!$F$52:$H$52</definedName>
    <definedName name="Equipment5" localSheetId="0">[2]Worksheet!$C$56:$H$56,[2]Worksheet!$O$56,[2]Worksheet!$Q$56,[2]Worksheet!$U$56:$W$56,[2]Worksheet!$U$59:$X$59,[2]Worksheet!$O$59:$Q$59,[2]Worksheet!$F$59:$H$59</definedName>
    <definedName name="Equipment6" localSheetId="0">[2]Worksheet!$C$47:$H$47,[2]Worksheet!$O$47:$Q$47,[2]Worksheet!$U$47:$W$47,[2]Worksheet!$F$50:$X$50</definedName>
    <definedName name="Equipment7" localSheetId="0">[2]Worksheet!$C$52:$H$52,[2]Worksheet!$O$52:$Q$52,[2]Worksheet!$U$52:$W$52,[2]Worksheet!$F$55:$W$55</definedName>
    <definedName name="Equipment8" localSheetId="0">[2]Worksheet!$C$57:$H$57,[2]Worksheet!$O$57:$Q$57,[2]Worksheet!$U$57:$W$57,[2]Worksheet!$F$60:$X$60</definedName>
    <definedName name="Equipment9" localSheetId="0">[2]Worksheet!$C$62:$H$62,[2]Worksheet!$O$62:$Q$62,[2]Worksheet!$U$62:$W$62,[2]Worksheet!$F$65:$X$65</definedName>
    <definedName name="Existing_Equipment" localSheetId="0">[2]References!$P$2:$P$6</definedName>
    <definedName name="Existing_Equipment">References!$BB$9:$BB$13</definedName>
    <definedName name="ExtraRows" localSheetId="27">'[3]Customer Inputs'!#REF!</definedName>
    <definedName name="ExtraRows" localSheetId="20">'[3]Customer Inputs'!#REF!</definedName>
    <definedName name="ExtraRows" localSheetId="21">'[3]Customer Inputs'!#REF!</definedName>
    <definedName name="ExtraRows" localSheetId="22">'[3]Customer Inputs'!#REF!</definedName>
    <definedName name="ExtraRows" localSheetId="23">'[3]Customer Inputs'!#REF!</definedName>
    <definedName name="ExtraRows" localSheetId="24">'[3]Customer Inputs'!#REF!</definedName>
    <definedName name="ExtraRows" localSheetId="25">'[3]Customer Inputs'!#REF!</definedName>
    <definedName name="ExtraRows" localSheetId="26">'[3]Customer Inputs'!#REF!</definedName>
    <definedName name="FLH_Cool" localSheetId="0">[2]References!$G$19</definedName>
    <definedName name="FLH_Cool" localSheetId="11">References!#REF!</definedName>
    <definedName name="FLH_Cool">References!#REF!</definedName>
    <definedName name="FLH_Heat" localSheetId="0">[2]References!$G$20</definedName>
    <definedName name="FLH_Heat" localSheetId="11">References!#REF!</definedName>
    <definedName name="FLH_Heat">References!#REF!</definedName>
    <definedName name="Fuel_Type">References!$AY$52:$AY$56</definedName>
    <definedName name="Full_Load_Hours_Cool_1">ProposedEquipment0!#REF!</definedName>
    <definedName name="Full_Load_Hours_Cool_2">ProposedEquipment0!#REF!</definedName>
    <definedName name="Full_LOad_Hours_Cool_3">ProposedEquipment0!#REF!</definedName>
    <definedName name="Full_Load_Hours_Heat_1">ProposedEquipment0!#REF!</definedName>
    <definedName name="Full_Load_Hours_Heat_2">ProposedEquipment0!#REF!</definedName>
    <definedName name="Full_Load_Hours_Heat_3">ProposedEquipment0!#REF!</definedName>
    <definedName name="Heating_Source">References!$L$4:$L$18</definedName>
    <definedName name="Heating_Type" localSheetId="10">References!#REF!</definedName>
    <definedName name="Heating_Type">References!#REF!</definedName>
    <definedName name="Hinge">References!$AU$78:$AU$80</definedName>
    <definedName name="Home">References!#REF!</definedName>
    <definedName name="Home_Performance_Reference_Tab">References!#REF!</definedName>
    <definedName name="HP_Content1">Worksheet!$D$15,Worksheet!$D$17,Worksheet!$D$19,Worksheet!#REF!,Worksheet!$D$13,Worksheet!$D$21,Worksheet!$J$15,Worksheet!$J$17,Worksheet!$J$19,Worksheet!$J$21,Worksheet!$D$28,Worksheet!$D$30,Worksheet!$D$32,Worksheet!$D$34,Worksheet!$D$26,Worksheet!$D$36,Worksheet!$J$28,Worksheet!$J$30,Worksheet!$J$32,Worksheet!$J$34</definedName>
    <definedName name="HP_Content2">Worksheet!$K$42,Worksheet!$J$46,Worksheet!$D$48,Worksheet!$D$52,Worksheet!$D$54,Worksheet!$D$56,Worksheet!$D$58,Worksheet!$D$62,Worksheet!$J$52,Worksheet!$J$54,Worksheet!$J$56,Worksheet!$J$58,Worksheet!$J$62,Worksheet!$D$66,Worksheet!$D$68,Worksheet!$D$70,Worksheet!$D$72,Worksheet!$D$76</definedName>
    <definedName name="HP_Content3">Worksheet!$D$101,Worksheet!$D$107,Worksheet!$D$110,Worksheet!#REF!,Worksheet!$D$112,Worksheet!$D$114,Worksheet!$D$116,Worksheet!$J$110,Worksheet!#REF!,Worksheet!$J$112,Worksheet!$J$114,Worksheet!$J$116,Worksheet!$D$120,Worksheet!#REF!,Worksheet!$D$122,Worksheet!$D$124,Worksheet!$D$126,Worksheet!$J$120,Worksheet!#REF!,Worksheet!$J$122,Worksheet!$J$124,Worksheet!$J$126,Worksheet!$D$130,Worksheet!#REF!,Worksheet!$D$132,Worksheet!$D$134,Worksheet!$D$136,Worksheet!$D$80,Worksheet!$D$87,Worksheet!$D$90,Worksheet!$D$92,Worksheet!$D$94,Worksheet!$D$97,Worksheet!$D$101,Worksheet!$D$107,Worksheet!$D$110,Worksheet!#REF!,Worksheet!$D$112,Worksheet!$D$114,Worksheet!$D$116,Worksheet!$J$110,Worksheet!#REF!,Worksheet!$J$112,Worksheet!$J$114,Worksheet!$J$116,Worksheet!$D$120,Worksheet!#REF!,Worksheet!$D$122,Worksheet!$D$124,Worksheet!$D$126,Worksheet!$J$120,Worksheet!#REF!,Worksheet!$J$122,Worksheet!$J$124,Worksheet!$J$126,Worksheet!$D$130,Worksheet!#REF!,Worksheet!$D$132,Worksheet!$D$134,Worksheet!$D$136</definedName>
    <definedName name="HP_kW_CA">References!#REF!</definedName>
    <definedName name="HP_kW_RS">References!#REF!</definedName>
    <definedName name="HP_QI_kWh">References!#REF!</definedName>
    <definedName name="HP_Unit1_QI_CA">Qualifying_Index!$AT$27</definedName>
    <definedName name="HP_Unit1_QI_kWh">Qualifying_Index!$AV$27</definedName>
    <definedName name="HSPF1" localSheetId="0">[4]Worksheet!$V$30</definedName>
    <definedName name="HVACInputs">Worksheet!$D$13,Worksheet!$D$15,Worksheet!$D$26,Worksheet!$D$28,Worksheet!$J$13,Worksheet!$J$15,Worksheet!$J$26,Worksheet!$J$28</definedName>
    <definedName name="Import_All">ProposedEquipment0!$A$1:$EG$1</definedName>
    <definedName name="Import_CH">ProposedEquipment0!$A$1:$DE$1</definedName>
    <definedName name="Indoor_WetBulb_SuperHeat">References!#REF!</definedName>
    <definedName name="Insulation_Existing_RValue">References!$BD$81:$BD$86</definedName>
    <definedName name="Insulation_Installed_RValue">References!$BE$81:$BE$88</definedName>
    <definedName name="Insulation_Location">References!$N$9:$N$12</definedName>
    <definedName name="InsulationInputs">Worksheet!$D$107,Worksheet!$D$110,Worksheet!$D$112,Worksheet!$D$114,Worksheet!$D$116,Worksheet!$J$110,Worksheet!$J$112,Worksheet!$J$114,Worksheet!$J$116,Worksheet!$D$120,Worksheet!$D$122,Worksheet!$D$124,Worksheet!$D$126,Worksheet!$J$120,Worksheet!$J$122,Worksheet!$J$124,Worksheet!$J$126,Worksheet!$D$130,Worksheet!$D$132,Worksheet!$D$134,Worksheet!$D$136</definedName>
    <definedName name="insulations">References!$BA$95:$BA$99</definedName>
    <definedName name="kW_CA" localSheetId="0">[2]References!$L$31</definedName>
    <definedName name="kW_CA" localSheetId="11">References!#REF!</definedName>
    <definedName name="kW_CA">References!#REF!</definedName>
    <definedName name="kW_RS" localSheetId="0">[2]References!$M$31</definedName>
    <definedName name="kW_RS" localSheetId="11">References!#REF!</definedName>
    <definedName name="kW_RS">References!#REF!</definedName>
    <definedName name="Liq_Line_Temp">References!$AW$128:$AW$128</definedName>
    <definedName name="Liquid_Line_Pressure">References!#REF!</definedName>
    <definedName name="Location_Code">References!$BA$80:$BA$91</definedName>
    <definedName name="location3">References!#REF!</definedName>
    <definedName name="Locations_2">References!$AY$79:$AY$82</definedName>
    <definedName name="Manufacturers">References!$AT$65:$AT$65</definedName>
    <definedName name="Manufacturers2">References!$R$5:$AB$5</definedName>
    <definedName name="Measured_Subcooling">References!#REF!</definedName>
    <definedName name="MFG_Spec_SuperHeat">References!#REF!</definedName>
    <definedName name="Model_Data">#REF!,#REF!,#REF!,#REF!,#REF!,#REF!,#REF!</definedName>
    <definedName name="New_Equipment_Data">#REF!,#REF!,#REF!,#REF!,#REF!,#REF!,#REF!,#REF!,#REF!,#REF!,#REF!,#REF!</definedName>
    <definedName name="New_Existing1" localSheetId="0">[4]Worksheet!$I$30</definedName>
    <definedName name="New_Existing3" localSheetId="0">[4]Worksheet!$I$44</definedName>
    <definedName name="New_Existing4" localSheetId="0">[4]Worksheet!$I$51</definedName>
    <definedName name="New_Existing5" localSheetId="0">[4]Worksheet!$I$58</definedName>
    <definedName name="notes">References!$AY$85:$AY$92</definedName>
    <definedName name="OLE_LINK2" localSheetId="2">'Ts and Cs'!$C$24</definedName>
    <definedName name="Outdoor_DryBulb_SuperHeat">References!#REF!</definedName>
    <definedName name="Outdoor_DryBulb_Temp">References!#REF!</definedName>
    <definedName name="PASS_FAIL2">References!$AW$88:$AW$90</definedName>
    <definedName name="PipeInsulationInputs">Worksheet!$D$165,Worksheet!$D$168,Worksheet!$D$170,Worksheet!$D$172,Worksheet!$D$174</definedName>
    <definedName name="Post_Install" localSheetId="0">[2]Worksheet!$C$78:$H$106,[2]Worksheet!$O$78:$O$106,[2]Worksheet!$Q$78:$Q$106,[2]Worksheet!$T$78:$X$106</definedName>
    <definedName name="_xlnm.Print_Area" localSheetId="27">'AIRFLOW FORM 10'!$A$1:$CD$116</definedName>
    <definedName name="_xlnm.Print_Area" localSheetId="19">'AIRFLOW FORM 2'!$A$1:$AU$125</definedName>
    <definedName name="_xlnm.Print_Area" localSheetId="20">'AIRFLOW FORM 3'!$A$1:$O$123</definedName>
    <definedName name="_xlnm.Print_Area" localSheetId="21">'AIRFLOW FORM 4'!$A$1:$CE$119</definedName>
    <definedName name="_xlnm.Print_Area" localSheetId="22">'AIRFLOW FORM 5'!$A$1:$CD$125</definedName>
    <definedName name="_xlnm.Print_Area" localSheetId="23">'AIRFLOW FORM 6'!$A$1:$CD$124</definedName>
    <definedName name="_xlnm.Print_Area" localSheetId="24">'AIRFLOW FORM 7'!$A$1:$CD$120</definedName>
    <definedName name="_xlnm.Print_Area" localSheetId="25">'AIRFLOW FORM 8'!$A$1:$CD$126</definedName>
    <definedName name="_xlnm.Print_Area" localSheetId="26">'AIRFLOW FORM 9'!$A$1:$CD$124</definedName>
    <definedName name="_xlnm.Print_Area" localSheetId="0">'Application Form'!$B$1:$K$127</definedName>
    <definedName name="_xlnm.Print_Area" localSheetId="9">'HPwES H&amp;S'!$B$1:$N$78</definedName>
    <definedName name="_xlnm.Print_Area" localSheetId="11">'Inspection Form'!$A$1:$N$70</definedName>
    <definedName name="_xlnm.Print_Area" localSheetId="28">'Project Completion Form'!$A$1:$L$79</definedName>
    <definedName name="_xlnm.Print_Area" localSheetId="29">'Project Completion Form HPwES'!$A$1:$L$63</definedName>
    <definedName name="_xlnm.Print_Area" localSheetId="3">'Required Documents'!$A$1:$L$33</definedName>
    <definedName name="_xlnm.Print_Area" localSheetId="6">'Smart T-Stats'!$B$1:$K$36</definedName>
    <definedName name="_xlnm.Print_Area" localSheetId="2">'Ts and Cs'!$A$1:$K$79</definedName>
    <definedName name="_xlnm.Print_Area" localSheetId="10">Worksheet!$A$1:$V$185</definedName>
    <definedName name="_xlnm.Print_Titles" localSheetId="9">'HPwES H&amp;S'!$1:$3</definedName>
    <definedName name="Product_Lookup" localSheetId="0">[2]Naming!$A$3:$D$46</definedName>
    <definedName name="QI_kWh" localSheetId="0">[2]References!$N$21</definedName>
    <definedName name="QI_kWh" localSheetId="11">References!#REF!</definedName>
    <definedName name="QI_kWh">References!#REF!</definedName>
    <definedName name="Rebate_Lookup" localSheetId="0">[2]References!$K$3:$M$11</definedName>
    <definedName name="Rebate_Lookup" localSheetId="11">References!#REF!</definedName>
    <definedName name="Rebate_Lookup">References!#REF!</definedName>
    <definedName name="Replacement_Type" localSheetId="0">[2]References!$F$2:$F$3</definedName>
    <definedName name="Replacement_Type" localSheetId="11">References!#REF!</definedName>
    <definedName name="Replacement_Type">References!#REF!</definedName>
    <definedName name="Reqd_SubCooling">References!#REF!</definedName>
    <definedName name="rvalues">References!$BA$95:$BB$99</definedName>
    <definedName name="Sat_Temp">References!$AU$128:$AU$128</definedName>
    <definedName name="SatTemp_SuperHeat">References!$AV$173:$AV$176</definedName>
    <definedName name="Side">References!#REF!</definedName>
    <definedName name="Siding">References!#REF!</definedName>
    <definedName name="Smart_Thermostat">References!$C$10:$C$11</definedName>
    <definedName name="Start_ApprovedStats">References!$B$26</definedName>
    <definedName name="Start_Models">References!$R$6</definedName>
    <definedName name="True_Flow_CFM_Measured">'Air Flow References'!$T$34:$T$36</definedName>
    <definedName name="Tstat_Data">'Smart T-Stats'!$B$21:$I$31</definedName>
    <definedName name="TStat_Equipment_Type">References!#REF!</definedName>
    <definedName name="Tstat_Manufacturers">References!$B$15:$B$23</definedName>
    <definedName name="Unit_Number" localSheetId="9">References!#REF!</definedName>
    <definedName name="Unit_Number" localSheetId="10">References!#REF!</definedName>
    <definedName name="Unit_Number">References!#REF!</definedName>
    <definedName name="Unit1_QI_CA" localSheetId="0">[2]References!$L$36</definedName>
    <definedName name="Unit1_QI_CA" localSheetId="11">Qualifying_Index!$AT$27</definedName>
    <definedName name="Unit1_QI_CA">Qualifying_Index!$AT$27</definedName>
    <definedName name="Unit1_QI_kWh" localSheetId="0">[2]References!$N$26</definedName>
    <definedName name="Unit1_QI_kWh" localSheetId="11">Qualifying_Index!$AV$27</definedName>
    <definedName name="Unit1_QI_kWh">Qualifying_Index!$AV$27</definedName>
    <definedName name="Unit1_QI_RS" localSheetId="0">[2]References!$M$36</definedName>
    <definedName name="Unit1_QI_RS" localSheetId="11">Qualifying_Index!$AU$27</definedName>
    <definedName name="Unit1_QI_RS">Qualifying_Index!$AU$27</definedName>
    <definedName name="Unit10_QI_CA">Qualifying_Index!$AT$36</definedName>
    <definedName name="Unit10_QI_kWh">Qualifying_Index!$AV$36</definedName>
    <definedName name="Unit10_QI_RS">Qualifying_Index!$AU$36</definedName>
    <definedName name="Unit2_QI_CA" localSheetId="0">[2]References!$L$37</definedName>
    <definedName name="Unit2_QI_CA" localSheetId="11">Qualifying_Index!$AT$28</definedName>
    <definedName name="Unit2_QI_CA">Qualifying_Index!$AT$28</definedName>
    <definedName name="Unit2_QI_kWh" localSheetId="0">[2]References!$N$27</definedName>
    <definedName name="Unit2_QI_kWh" localSheetId="11">Qualifying_Index!$AV$28</definedName>
    <definedName name="Unit2_QI_kWh">Qualifying_Index!$AV$28</definedName>
    <definedName name="Unit2_QI_RS" localSheetId="0">[2]References!$M$37</definedName>
    <definedName name="Unit2_QI_RS" localSheetId="11">Qualifying_Index!$AU$28</definedName>
    <definedName name="Unit2_QI_RS">Qualifying_Index!$AU$28</definedName>
    <definedName name="Unit3_QI_CA" localSheetId="0">[2]References!$L$38</definedName>
    <definedName name="Unit3_QI_CA" localSheetId="11">Qualifying_Index!$AT$29</definedName>
    <definedName name="Unit3_QI_CA">Qualifying_Index!$AT$29</definedName>
    <definedName name="Unit3_QI_kWh" localSheetId="0">[2]References!$N$28</definedName>
    <definedName name="Unit3_QI_kWh" localSheetId="11">Qualifying_Index!$AV$29</definedName>
    <definedName name="Unit3_QI_kWh">Qualifying_Index!$AV$29</definedName>
    <definedName name="Unit3_QI_RS" localSheetId="0">[2]References!$M$38</definedName>
    <definedName name="Unit3_QI_RS" localSheetId="11">Qualifying_Index!$AU$29</definedName>
    <definedName name="Unit3_QI_RS">Qualifying_Index!$AU$29</definedName>
    <definedName name="Unit4_QI_CA" localSheetId="0">[2]References!$L$39</definedName>
    <definedName name="Unit4_QI_CA" localSheetId="11">Qualifying_Index!$AT$30</definedName>
    <definedName name="Unit4_QI_CA">Qualifying_Index!$AT$30</definedName>
    <definedName name="Unit4_QI_kWh" localSheetId="0">[2]References!$N$29</definedName>
    <definedName name="Unit4_QI_kWh" localSheetId="11">Qualifying_Index!$AV$30</definedName>
    <definedName name="Unit4_QI_kWh">Qualifying_Index!$AV$30</definedName>
    <definedName name="Unit4_QI_RS" localSheetId="0">[2]References!$M$39</definedName>
    <definedName name="Unit4_QI_RS" localSheetId="11">Qualifying_Index!$AU$30</definedName>
    <definedName name="Unit4_QI_RS">Qualifying_Index!$AU$30</definedName>
    <definedName name="Unit5_QI_CA" localSheetId="0">[2]References!$L$40</definedName>
    <definedName name="Unit5_QI_CA" localSheetId="11">Qualifying_Index!$AT$31</definedName>
    <definedName name="Unit5_QI_CA">Qualifying_Index!$AT$31</definedName>
    <definedName name="Unit5_QI_kWh" localSheetId="0">[2]References!$N$30</definedName>
    <definedName name="Unit5_QI_kWh" localSheetId="11">Qualifying_Index!$AV$31</definedName>
    <definedName name="Unit5_QI_kWh">Qualifying_Index!$AV$31</definedName>
    <definedName name="Unit5_QI_RS" localSheetId="0">[2]References!$M$40</definedName>
    <definedName name="Unit5_QI_RS" localSheetId="11">Qualifying_Index!$AU$31</definedName>
    <definedName name="Unit5_QI_RS">Qualifying_Index!$AU$31</definedName>
    <definedName name="Unit6_QI_CA">Qualifying_Index!$AT$32</definedName>
    <definedName name="Unit6_QI_kWh">Qualifying_Index!$AV$32</definedName>
    <definedName name="Unit6_QI_RS">Qualifying_Index!$AU$32</definedName>
    <definedName name="Unit7_QI_CA">Qualifying_Index!$AT$33</definedName>
    <definedName name="Unit7_QI_kWh">Qualifying_Index!$AV$33</definedName>
    <definedName name="Unit7_QI_RS">Qualifying_Index!$AU$33</definedName>
    <definedName name="Unit8_QI_CA">Qualifying_Index!$AT$34</definedName>
    <definedName name="Unit8_QI_kWh">Qualifying_Index!$AV$34</definedName>
    <definedName name="Unit8_QI_RS">Qualifying_Index!$AU$34</definedName>
    <definedName name="Unit9_QI_CA">Qualifying_Index!$AT$35</definedName>
    <definedName name="Unit9_QI_kWh">Qualifying_Index!$AV$35</definedName>
    <definedName name="Unit9_QI_RS">Qualifying_Index!$AU$35</definedName>
    <definedName name="Use" localSheetId="0">[2]References!$F$10:$F$11</definedName>
    <definedName name="Vapor_Pressue_SuperHeat">References!#REF!</definedName>
    <definedName name="VaporLine_SuperHeat">References!#REF!</definedName>
    <definedName name="Venting">References!$AW$52:$AW$55</definedName>
    <definedName name="WaterHeater_Source">References!$N$4:$N$7</definedName>
    <definedName name="WholeHouse_TF">References!#REF!</definedName>
    <definedName name="YES_NO" localSheetId="0">[2]References!$C$2:$C$3</definedName>
    <definedName name="YES_NO" localSheetId="9">References!$AU$30:$AU$34</definedName>
    <definedName name="YES_NO" localSheetId="11">References!$AN$10:$AN$11</definedName>
    <definedName name="YES_NO" localSheetId="10">References!$AU$30:$AU$33</definedName>
    <definedName name="YES_NO">References!$AN$10:$AN$11</definedName>
    <definedName name="Z_3E98CB88_96C1_4B76_A23D_42BE2C3750E1_.wvu.Cols" localSheetId="7" hidden="1">Glossary!$M:$IV</definedName>
    <definedName name="Z_3E98CB88_96C1_4B76_A23D_42BE2C3750E1_.wvu.Cols" localSheetId="5" hidden="1">'Guidelines '!$M:$IV</definedName>
    <definedName name="Z_3E98CB88_96C1_4B76_A23D_42BE2C3750E1_.wvu.Cols" localSheetId="8" hidden="1">'Insulation Eligibility'!$M:$IV</definedName>
    <definedName name="Z_3E98CB88_96C1_4B76_A23D_42BE2C3750E1_.wvu.Cols" localSheetId="2" hidden="1">'Ts and Cs'!$M:$IV</definedName>
    <definedName name="Z_3E98CB88_96C1_4B76_A23D_42BE2C3750E1_.wvu.PrintArea" localSheetId="7" hidden="1">Glossary!$A$1:$L$86</definedName>
    <definedName name="Z_3E98CB88_96C1_4B76_A23D_42BE2C3750E1_.wvu.PrintArea" localSheetId="5" hidden="1">'Guidelines '!$A$1:$L$49</definedName>
    <definedName name="Z_3E98CB88_96C1_4B76_A23D_42BE2C3750E1_.wvu.PrintArea" localSheetId="8" hidden="1">'Insulation Eligibility'!$A$1:$L$79</definedName>
    <definedName name="Z_3E98CB88_96C1_4B76_A23D_42BE2C3750E1_.wvu.PrintArea" localSheetId="2" hidden="1">'Ts and Cs'!$A$1:$L$129</definedName>
    <definedName name="Z_3E98CB88_96C1_4B76_A23D_42BE2C3750E1_.wvu.Rows" localSheetId="7" hidden="1">Glossary!$87:$65570,Glossary!#REF!</definedName>
    <definedName name="Z_3E98CB88_96C1_4B76_A23D_42BE2C3750E1_.wvu.Rows" localSheetId="5" hidden="1">'Guidelines '!$50:$65532,'Guidelines '!#REF!</definedName>
    <definedName name="Z_3E98CB88_96C1_4B76_A23D_42BE2C3750E1_.wvu.Rows" localSheetId="8" hidden="1">'Insulation Eligibility'!$80:$65563,'Insulation Eligibility'!#REF!</definedName>
    <definedName name="Z_3E98CB88_96C1_4B76_A23D_42BE2C3750E1_.wvu.Rows" localSheetId="2" hidden="1">'Ts and Cs'!$158:$65585,'Ts and Cs'!$130:$157</definedName>
    <definedName name="Z_413575D0_A88C_4EFD_A604_365F28B09173_.wvu.Cols" localSheetId="4" hidden="1">AssignmentForm!$M:$IV</definedName>
    <definedName name="Z_413575D0_A88C_4EFD_A604_365F28B09173_.wvu.Cols" localSheetId="3" hidden="1">'Required Documents'!$H:$IV</definedName>
    <definedName name="Z_413575D0_A88C_4EFD_A604_365F28B09173_.wvu.PrintArea" localSheetId="4" hidden="1">AssignmentForm!$A$1:$L$34</definedName>
    <definedName name="Z_413575D0_A88C_4EFD_A604_365F28B09173_.wvu.PrintArea" localSheetId="3" hidden="1">[5]Sheet2!#REF!</definedName>
    <definedName name="Z_413575D0_A88C_4EFD_A604_365F28B09173_.wvu.Rows" localSheetId="4" hidden="1">AssignmentForm!$41:$65536,AssignmentForm!$35:$40</definedName>
    <definedName name="Z_413575D0_A88C_4EFD_A604_365F28B09173_.wvu.Rows" localSheetId="3" hidden="1">'Required Documents'!$27:$65516</definedName>
    <definedName name="Z_96593B1C_9974_4E72_92E4_142C93F3786E_.wvu.Cols" localSheetId="9" hidden="1">'HPwES H&amp;S'!$Q:$IV</definedName>
    <definedName name="Z_96593B1C_9974_4E72_92E4_142C93F3786E_.wvu.PrintArea" localSheetId="9" hidden="1">'HPwES H&amp;S'!$B$1:$N$78</definedName>
    <definedName name="Z_96593B1C_9974_4E72_92E4_142C93F3786E_.wvu.PrintTitles" localSheetId="9" hidden="1">'HPwES H&amp;S'!$1:$3</definedName>
    <definedName name="Z_96593B1C_9974_4E72_92E4_142C93F3786E_.wvu.Rows" localSheetId="9" hidden="1">'HPwES H&amp;S'!$101:$65536,'HPwES H&amp;S'!$79:$80,'HPwES H&amp;S'!$82:$99</definedName>
    <definedName name="Z_DF1EA3E7_8F50_4113_9124_A0A2972E8B94_.wvu.Cols" localSheetId="9" hidden="1">'HPwES H&amp;S'!$Q:$IV</definedName>
    <definedName name="Z_DF1EA3E7_8F50_4113_9124_A0A2972E8B94_.wvu.PrintArea" localSheetId="9" hidden="1">'HPwES H&amp;S'!$B$1:$N$78</definedName>
    <definedName name="Z_DF1EA3E7_8F50_4113_9124_A0A2972E8B94_.wvu.PrintTitles" localSheetId="9" hidden="1">'HPwES H&amp;S'!$1:$3</definedName>
    <definedName name="Z_DF1EA3E7_8F50_4113_9124_A0A2972E8B94_.wvu.Rows" localSheetId="9" hidden="1">'HPwES H&amp;S'!$101:$65536,'HPwES H&amp;S'!$79:$80,'HPwES H&amp;S'!$82:$99</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55" l="1"/>
  <c r="B142" i="35"/>
  <c r="B135" i="35"/>
  <c r="B105" i="35" l="1"/>
  <c r="B104" i="35"/>
  <c r="B103" i="35"/>
  <c r="C135" i="35"/>
  <c r="C124" i="35"/>
  <c r="C123" i="35"/>
  <c r="C114" i="35"/>
  <c r="C105" i="35"/>
  <c r="C104" i="35"/>
  <c r="C103" i="35"/>
  <c r="AJ101" i="3"/>
  <c r="AJ102" i="3"/>
  <c r="AJ103" i="3"/>
  <c r="AJ104" i="3"/>
  <c r="AJ100" i="3"/>
  <c r="E124" i="35"/>
  <c r="E123" i="35"/>
  <c r="E122" i="35"/>
  <c r="C122" i="35" s="1"/>
  <c r="E121" i="35"/>
  <c r="C121" i="35" s="1"/>
  <c r="E120" i="35"/>
  <c r="C120" i="35" s="1"/>
  <c r="E142" i="35" l="1"/>
  <c r="C142" i="35" s="1"/>
  <c r="B121" i="35" l="1"/>
  <c r="B122" i="35"/>
  <c r="B123" i="35"/>
  <c r="B124" i="35"/>
  <c r="B120" i="35"/>
  <c r="B114" i="35"/>
  <c r="Z126" i="3" l="1"/>
  <c r="Z125" i="3"/>
  <c r="B34" i="3" l="1"/>
  <c r="C34" i="3" s="1"/>
  <c r="D34" i="3" l="1"/>
  <c r="J148" i="50" l="1"/>
  <c r="B4" i="34" l="1"/>
  <c r="V56" i="3"/>
  <c r="S56" i="3"/>
  <c r="S55" i="3"/>
  <c r="C94" i="35"/>
  <c r="C93" i="35"/>
  <c r="L89" i="57"/>
  <c r="C89" i="57"/>
  <c r="G58" i="34" l="1"/>
  <c r="E58" i="34"/>
  <c r="C58" i="34"/>
  <c r="B58" i="34"/>
  <c r="D53" i="34" l="1"/>
  <c r="G53" i="34"/>
  <c r="E47" i="34" l="1"/>
  <c r="E46" i="34"/>
  <c r="E45" i="34"/>
  <c r="E44" i="34"/>
  <c r="E43" i="34"/>
  <c r="C47" i="34"/>
  <c r="C46" i="34"/>
  <c r="C45" i="34"/>
  <c r="C44" i="34"/>
  <c r="C43" i="34"/>
  <c r="B47" i="34"/>
  <c r="B46" i="34"/>
  <c r="B45" i="34"/>
  <c r="B44" i="34"/>
  <c r="B43" i="34"/>
  <c r="B30" i="34"/>
  <c r="B29" i="34"/>
  <c r="B28" i="34"/>
  <c r="B11" i="24"/>
  <c r="U94" i="35" l="1"/>
  <c r="U95" i="35" s="1"/>
  <c r="I93" i="35"/>
  <c r="J93" i="35"/>
  <c r="B93" i="35"/>
  <c r="D93" i="35" s="1"/>
  <c r="H93" i="35" s="1"/>
  <c r="S226" i="3"/>
  <c r="J94" i="35"/>
  <c r="I94" i="35"/>
  <c r="BC16" i="3"/>
  <c r="AZ16" i="3" s="1"/>
  <c r="BA16" i="3"/>
  <c r="BC17" i="3"/>
  <c r="AZ17" i="3" s="1"/>
  <c r="BC18" i="3"/>
  <c r="BA18" i="3" s="1"/>
  <c r="BC19" i="3"/>
  <c r="BA19" i="3" s="1"/>
  <c r="AZ21" i="3"/>
  <c r="BA21" i="3"/>
  <c r="BC22" i="3"/>
  <c r="BA22" i="3" s="1"/>
  <c r="BC23" i="3"/>
  <c r="AZ23" i="3" s="1"/>
  <c r="BC24" i="3"/>
  <c r="BA24" i="3" s="1"/>
  <c r="BC25" i="3"/>
  <c r="AZ25" i="3" s="1"/>
  <c r="L82" i="55"/>
  <c r="C82" i="55"/>
  <c r="V62" i="3"/>
  <c r="V54" i="3"/>
  <c r="V49" i="3"/>
  <c r="S58" i="3"/>
  <c r="S59" i="3"/>
  <c r="S60" i="3"/>
  <c r="S61" i="3"/>
  <c r="S62" i="3"/>
  <c r="S57" i="3"/>
  <c r="S54" i="3"/>
  <c r="S53" i="3"/>
  <c r="S49" i="3"/>
  <c r="S30" i="3"/>
  <c r="S29" i="3"/>
  <c r="W81" i="3"/>
  <c r="W80" i="3"/>
  <c r="W79" i="3"/>
  <c r="W74" i="3"/>
  <c r="W73" i="3"/>
  <c r="W72" i="3"/>
  <c r="W76" i="3"/>
  <c r="W77" i="3"/>
  <c r="W78" i="3"/>
  <c r="AU27" i="3"/>
  <c r="U216" i="3"/>
  <c r="V216" i="3"/>
  <c r="W216" i="3"/>
  <c r="U217" i="3"/>
  <c r="V217" i="3"/>
  <c r="W217" i="3"/>
  <c r="U218" i="3"/>
  <c r="V218" i="3"/>
  <c r="W218" i="3"/>
  <c r="U219" i="3"/>
  <c r="V219" i="3"/>
  <c r="W219" i="3"/>
  <c r="T217" i="3"/>
  <c r="T218" i="3"/>
  <c r="T219" i="3"/>
  <c r="T216" i="3"/>
  <c r="U211" i="3"/>
  <c r="V211" i="3"/>
  <c r="W211" i="3"/>
  <c r="U212" i="3"/>
  <c r="V212" i="3"/>
  <c r="W212" i="3"/>
  <c r="U213" i="3"/>
  <c r="V213" i="3"/>
  <c r="W213" i="3"/>
  <c r="U214" i="3"/>
  <c r="V214" i="3"/>
  <c r="W214" i="3"/>
  <c r="T212" i="3"/>
  <c r="T213" i="3"/>
  <c r="T214" i="3"/>
  <c r="T211" i="3"/>
  <c r="U206" i="3"/>
  <c r="V206" i="3"/>
  <c r="W206" i="3"/>
  <c r="U207" i="3"/>
  <c r="V207" i="3"/>
  <c r="W207" i="3"/>
  <c r="U208" i="3"/>
  <c r="V208" i="3"/>
  <c r="W208" i="3"/>
  <c r="U209" i="3"/>
  <c r="V209" i="3"/>
  <c r="W209" i="3"/>
  <c r="T207" i="3"/>
  <c r="T208" i="3"/>
  <c r="T209" i="3"/>
  <c r="T206" i="3"/>
  <c r="U199" i="3"/>
  <c r="V199" i="3"/>
  <c r="W199" i="3"/>
  <c r="U200" i="3"/>
  <c r="V200" i="3"/>
  <c r="W200" i="3"/>
  <c r="U201" i="3"/>
  <c r="V201" i="3"/>
  <c r="W201" i="3"/>
  <c r="U202" i="3"/>
  <c r="V202" i="3"/>
  <c r="W202" i="3"/>
  <c r="U203" i="3"/>
  <c r="V203" i="3"/>
  <c r="W203" i="3"/>
  <c r="U204" i="3"/>
  <c r="V204" i="3"/>
  <c r="W204" i="3"/>
  <c r="T200" i="3"/>
  <c r="T201" i="3"/>
  <c r="T202" i="3"/>
  <c r="T203" i="3"/>
  <c r="T204" i="3"/>
  <c r="T199" i="3"/>
  <c r="U192" i="3"/>
  <c r="V192" i="3"/>
  <c r="W192" i="3"/>
  <c r="U193" i="3"/>
  <c r="V193" i="3"/>
  <c r="W193" i="3"/>
  <c r="U194" i="3"/>
  <c r="V194" i="3"/>
  <c r="W194" i="3"/>
  <c r="U195" i="3"/>
  <c r="V195" i="3"/>
  <c r="W195" i="3"/>
  <c r="T193" i="3"/>
  <c r="T194" i="3"/>
  <c r="T195" i="3"/>
  <c r="T192" i="3"/>
  <c r="U187" i="3"/>
  <c r="V187" i="3"/>
  <c r="W187" i="3"/>
  <c r="U188" i="3"/>
  <c r="V188" i="3"/>
  <c r="W188" i="3"/>
  <c r="U189" i="3"/>
  <c r="V189" i="3"/>
  <c r="W189" i="3"/>
  <c r="U190" i="3"/>
  <c r="V190" i="3"/>
  <c r="W190" i="3"/>
  <c r="T188" i="3"/>
  <c r="T189" i="3"/>
  <c r="T190" i="3"/>
  <c r="T187" i="3"/>
  <c r="U182" i="3"/>
  <c r="V182" i="3"/>
  <c r="W182" i="3"/>
  <c r="U183" i="3"/>
  <c r="V183" i="3"/>
  <c r="W183" i="3"/>
  <c r="U184" i="3"/>
  <c r="V184" i="3"/>
  <c r="W184" i="3"/>
  <c r="U185" i="3"/>
  <c r="V185" i="3"/>
  <c r="W185" i="3"/>
  <c r="T183" i="3"/>
  <c r="T184" i="3"/>
  <c r="T185" i="3"/>
  <c r="T182" i="3"/>
  <c r="U175" i="3"/>
  <c r="V175" i="3"/>
  <c r="W175" i="3"/>
  <c r="U176" i="3"/>
  <c r="V176" i="3"/>
  <c r="W176" i="3"/>
  <c r="U177" i="3"/>
  <c r="V177" i="3"/>
  <c r="W177" i="3"/>
  <c r="U178" i="3"/>
  <c r="V178" i="3"/>
  <c r="W178" i="3"/>
  <c r="U179" i="3"/>
  <c r="V179" i="3"/>
  <c r="W179" i="3"/>
  <c r="U180" i="3"/>
  <c r="V180" i="3"/>
  <c r="W180" i="3"/>
  <c r="T176" i="3"/>
  <c r="T177" i="3"/>
  <c r="T178" i="3"/>
  <c r="T179" i="3"/>
  <c r="T180" i="3"/>
  <c r="T175" i="3"/>
  <c r="T169" i="3"/>
  <c r="U169" i="3"/>
  <c r="V169" i="3"/>
  <c r="W169" i="3"/>
  <c r="T170" i="3"/>
  <c r="U170" i="3"/>
  <c r="V170" i="3"/>
  <c r="W170" i="3"/>
  <c r="T171" i="3"/>
  <c r="U171" i="3"/>
  <c r="V171" i="3"/>
  <c r="W171" i="3"/>
  <c r="U168" i="3"/>
  <c r="V168" i="3"/>
  <c r="W168" i="3"/>
  <c r="T168" i="3"/>
  <c r="U163" i="3"/>
  <c r="V163" i="3"/>
  <c r="W163" i="3"/>
  <c r="U164" i="3"/>
  <c r="V164" i="3"/>
  <c r="W164" i="3"/>
  <c r="U165" i="3"/>
  <c r="V165" i="3"/>
  <c r="W165" i="3"/>
  <c r="U166" i="3"/>
  <c r="V166" i="3"/>
  <c r="W166" i="3"/>
  <c r="T164" i="3"/>
  <c r="T165" i="3"/>
  <c r="T166" i="3"/>
  <c r="T163" i="3"/>
  <c r="U158" i="3"/>
  <c r="V158" i="3"/>
  <c r="W158" i="3"/>
  <c r="U159" i="3"/>
  <c r="V159" i="3"/>
  <c r="W159" i="3"/>
  <c r="U160" i="3"/>
  <c r="V160" i="3"/>
  <c r="W160" i="3"/>
  <c r="U161" i="3"/>
  <c r="V161" i="3"/>
  <c r="W161" i="3"/>
  <c r="T159" i="3"/>
  <c r="T160" i="3"/>
  <c r="T161" i="3"/>
  <c r="T158" i="3"/>
  <c r="U151" i="3"/>
  <c r="V151" i="3"/>
  <c r="W151" i="3"/>
  <c r="U152" i="3"/>
  <c r="V152" i="3"/>
  <c r="W152" i="3"/>
  <c r="U153" i="3"/>
  <c r="V153" i="3"/>
  <c r="W153" i="3"/>
  <c r="U154" i="3"/>
  <c r="V154" i="3"/>
  <c r="W154" i="3"/>
  <c r="U155" i="3"/>
  <c r="V155" i="3"/>
  <c r="W155" i="3"/>
  <c r="U156" i="3"/>
  <c r="V156" i="3"/>
  <c r="W156" i="3"/>
  <c r="T152" i="3"/>
  <c r="T153" i="3"/>
  <c r="T154" i="3"/>
  <c r="T155" i="3"/>
  <c r="T156" i="3"/>
  <c r="T151" i="3"/>
  <c r="U144" i="3"/>
  <c r="V144" i="3"/>
  <c r="W144" i="3"/>
  <c r="U145" i="3"/>
  <c r="V145" i="3"/>
  <c r="W145" i="3"/>
  <c r="U146" i="3"/>
  <c r="V146" i="3"/>
  <c r="W146" i="3"/>
  <c r="U147" i="3"/>
  <c r="V147" i="3"/>
  <c r="W147" i="3"/>
  <c r="T145" i="3"/>
  <c r="T146" i="3"/>
  <c r="T147" i="3"/>
  <c r="T144" i="3"/>
  <c r="U139" i="3"/>
  <c r="V139" i="3"/>
  <c r="W139" i="3"/>
  <c r="U140" i="3"/>
  <c r="V140" i="3"/>
  <c r="W140" i="3"/>
  <c r="U141" i="3"/>
  <c r="V141" i="3"/>
  <c r="W141" i="3"/>
  <c r="U142" i="3"/>
  <c r="V142" i="3"/>
  <c r="W142" i="3"/>
  <c r="T140" i="3"/>
  <c r="T141" i="3"/>
  <c r="T142" i="3"/>
  <c r="T139" i="3"/>
  <c r="U134" i="3"/>
  <c r="V134" i="3"/>
  <c r="W134" i="3"/>
  <c r="U135" i="3"/>
  <c r="V135" i="3"/>
  <c r="W135" i="3"/>
  <c r="U136" i="3"/>
  <c r="V136" i="3"/>
  <c r="W136" i="3"/>
  <c r="U137" i="3"/>
  <c r="V137" i="3"/>
  <c r="W137" i="3"/>
  <c r="T135" i="3"/>
  <c r="T136" i="3"/>
  <c r="T137" i="3"/>
  <c r="T134" i="3"/>
  <c r="U127" i="3"/>
  <c r="V127" i="3"/>
  <c r="W127" i="3"/>
  <c r="U128" i="3"/>
  <c r="V128" i="3"/>
  <c r="W128" i="3"/>
  <c r="U129" i="3"/>
  <c r="V129" i="3"/>
  <c r="W129" i="3"/>
  <c r="U130" i="3"/>
  <c r="V130" i="3"/>
  <c r="W130" i="3"/>
  <c r="U131" i="3"/>
  <c r="V131" i="3"/>
  <c r="W131" i="3"/>
  <c r="U132" i="3"/>
  <c r="V132" i="3"/>
  <c r="W132" i="3"/>
  <c r="T128" i="3"/>
  <c r="T129" i="3"/>
  <c r="T130" i="3"/>
  <c r="T131" i="3"/>
  <c r="T132" i="3"/>
  <c r="T127" i="3"/>
  <c r="U120" i="3"/>
  <c r="V120" i="3"/>
  <c r="W120" i="3"/>
  <c r="U121" i="3"/>
  <c r="V121" i="3"/>
  <c r="W121" i="3"/>
  <c r="U122" i="3"/>
  <c r="V122" i="3"/>
  <c r="W122" i="3"/>
  <c r="U123" i="3"/>
  <c r="V123" i="3"/>
  <c r="W123" i="3"/>
  <c r="T121" i="3"/>
  <c r="T122" i="3"/>
  <c r="T123" i="3"/>
  <c r="T120" i="3"/>
  <c r="U115" i="3"/>
  <c r="V115" i="3"/>
  <c r="W115" i="3"/>
  <c r="U116" i="3"/>
  <c r="V116" i="3"/>
  <c r="W116" i="3"/>
  <c r="U117" i="3"/>
  <c r="V117" i="3"/>
  <c r="W117" i="3"/>
  <c r="U118" i="3"/>
  <c r="V118" i="3"/>
  <c r="W118" i="3"/>
  <c r="T116" i="3"/>
  <c r="T117" i="3"/>
  <c r="T118" i="3"/>
  <c r="T115" i="3"/>
  <c r="U110" i="3"/>
  <c r="V110" i="3"/>
  <c r="W110" i="3"/>
  <c r="U111" i="3"/>
  <c r="V111" i="3"/>
  <c r="W111" i="3"/>
  <c r="U112" i="3"/>
  <c r="V112" i="3"/>
  <c r="W112" i="3"/>
  <c r="U113" i="3"/>
  <c r="V113" i="3"/>
  <c r="W113" i="3"/>
  <c r="T111" i="3"/>
  <c r="T112" i="3"/>
  <c r="T113" i="3"/>
  <c r="T110" i="3"/>
  <c r="T104" i="3"/>
  <c r="U104" i="3"/>
  <c r="V104" i="3"/>
  <c r="W104" i="3"/>
  <c r="T105" i="3"/>
  <c r="U105" i="3"/>
  <c r="V105" i="3"/>
  <c r="W105" i="3"/>
  <c r="T106" i="3"/>
  <c r="U106" i="3"/>
  <c r="V106" i="3"/>
  <c r="W106" i="3"/>
  <c r="T107" i="3"/>
  <c r="U107" i="3"/>
  <c r="V107" i="3"/>
  <c r="W107" i="3"/>
  <c r="T108" i="3"/>
  <c r="U108" i="3"/>
  <c r="V108" i="3"/>
  <c r="W108" i="3"/>
  <c r="U103" i="3"/>
  <c r="V103" i="3"/>
  <c r="W103" i="3"/>
  <c r="T103" i="3"/>
  <c r="A2" i="45"/>
  <c r="A2" i="57" s="1"/>
  <c r="U82" i="3"/>
  <c r="U64" i="3"/>
  <c r="U65" i="3"/>
  <c r="U66" i="3"/>
  <c r="U67" i="3"/>
  <c r="U68" i="3"/>
  <c r="U69" i="3"/>
  <c r="U70" i="3"/>
  <c r="U71" i="3"/>
  <c r="U63" i="3"/>
  <c r="U51" i="3"/>
  <c r="U52" i="3"/>
  <c r="U50" i="3"/>
  <c r="T71" i="3"/>
  <c r="T70" i="3"/>
  <c r="R94" i="35"/>
  <c r="Q94" i="35"/>
  <c r="B94" i="35"/>
  <c r="D94" i="35" s="1"/>
  <c r="U56" i="3"/>
  <c r="T56" i="3"/>
  <c r="T55" i="3"/>
  <c r="A1" i="45"/>
  <c r="B1" i="34" s="1"/>
  <c r="AR187" i="3"/>
  <c r="AR184" i="3"/>
  <c r="AR185" i="3"/>
  <c r="AR183" i="3"/>
  <c r="V33" i="43"/>
  <c r="W33" i="43"/>
  <c r="X33" i="43"/>
  <c r="U33" i="43"/>
  <c r="AR9" i="6"/>
  <c r="E41" i="43" s="1"/>
  <c r="AR5" i="6"/>
  <c r="E37" i="43" s="1"/>
  <c r="AR6" i="6"/>
  <c r="E38" i="43" s="1"/>
  <c r="AR7" i="6"/>
  <c r="E39" i="43" s="1"/>
  <c r="AO9" i="6"/>
  <c r="AQ9" i="6"/>
  <c r="AQ5" i="6"/>
  <c r="AQ6" i="6"/>
  <c r="AQ7" i="6"/>
  <c r="AO5" i="6"/>
  <c r="AO6" i="6"/>
  <c r="AO7" i="6"/>
  <c r="AS5" i="6"/>
  <c r="AS6" i="6"/>
  <c r="AS7" i="6"/>
  <c r="AS9" i="6"/>
  <c r="AL5" i="6"/>
  <c r="V37" i="43" s="1"/>
  <c r="AL6" i="6"/>
  <c r="V38" i="43" s="1"/>
  <c r="AL7" i="6"/>
  <c r="V39" i="43" s="1"/>
  <c r="AL9" i="6"/>
  <c r="V41" i="43" s="1"/>
  <c r="AM5" i="6"/>
  <c r="W37" i="43"/>
  <c r="AN5" i="6"/>
  <c r="X37" i="43" s="1"/>
  <c r="AM6" i="6"/>
  <c r="W38" i="43"/>
  <c r="AN6" i="6"/>
  <c r="X38" i="43" s="1"/>
  <c r="AM7" i="6"/>
  <c r="W39" i="43"/>
  <c r="AN7" i="6"/>
  <c r="X39" i="43" s="1"/>
  <c r="AM9" i="6"/>
  <c r="W41" i="43"/>
  <c r="AN9" i="6"/>
  <c r="X41" i="43" s="1"/>
  <c r="Y5" i="6"/>
  <c r="L37" i="43" s="1"/>
  <c r="Z5" i="6"/>
  <c r="M37" i="43" s="1"/>
  <c r="AA5" i="6"/>
  <c r="N37" i="43" s="1"/>
  <c r="AB5" i="6"/>
  <c r="O37" i="43" s="1"/>
  <c r="AC5" i="6"/>
  <c r="P37" i="43" s="1"/>
  <c r="AD5" i="6"/>
  <c r="Q37" i="43" s="1"/>
  <c r="AE5" i="6"/>
  <c r="R37" i="43" s="1"/>
  <c r="AF5" i="6"/>
  <c r="S37" i="43" s="1"/>
  <c r="AG5" i="6"/>
  <c r="T37" i="43" s="1"/>
  <c r="AH5" i="6"/>
  <c r="U37" i="43" s="1"/>
  <c r="Y6" i="6"/>
  <c r="L38" i="43" s="1"/>
  <c r="Z6" i="6"/>
  <c r="M38" i="43" s="1"/>
  <c r="AA6" i="6"/>
  <c r="N38" i="43" s="1"/>
  <c r="AB6" i="6"/>
  <c r="O38" i="43" s="1"/>
  <c r="AC6" i="6"/>
  <c r="P38" i="43" s="1"/>
  <c r="AD6" i="6"/>
  <c r="Q38" i="43" s="1"/>
  <c r="AE6" i="6"/>
  <c r="R38" i="43" s="1"/>
  <c r="AF6" i="6"/>
  <c r="S38" i="43" s="1"/>
  <c r="AG6" i="6"/>
  <c r="T38" i="43" s="1"/>
  <c r="AH6" i="6"/>
  <c r="U38" i="43" s="1"/>
  <c r="Y7" i="6"/>
  <c r="L39" i="43" s="1"/>
  <c r="Z7" i="6"/>
  <c r="M39" i="43" s="1"/>
  <c r="AA7" i="6"/>
  <c r="N39" i="43" s="1"/>
  <c r="AB7" i="6"/>
  <c r="O39" i="43" s="1"/>
  <c r="AC7" i="6"/>
  <c r="P39" i="43" s="1"/>
  <c r="AD7" i="6"/>
  <c r="Q39" i="43" s="1"/>
  <c r="AE7" i="6"/>
  <c r="R39" i="43" s="1"/>
  <c r="AF7" i="6"/>
  <c r="S39" i="43" s="1"/>
  <c r="AG7" i="6"/>
  <c r="T39" i="43" s="1"/>
  <c r="AH7" i="6"/>
  <c r="U39" i="43" s="1"/>
  <c r="Y9" i="6"/>
  <c r="L41" i="43" s="1"/>
  <c r="Z9" i="6"/>
  <c r="M41" i="43" s="1"/>
  <c r="AA9" i="6"/>
  <c r="N41" i="43" s="1"/>
  <c r="AB9" i="6"/>
  <c r="O41" i="43" s="1"/>
  <c r="AC9" i="6"/>
  <c r="P41" i="43" s="1"/>
  <c r="AD9" i="6"/>
  <c r="Q41" i="43" s="1"/>
  <c r="AE9" i="6"/>
  <c r="R41" i="43" s="1"/>
  <c r="AF9" i="6"/>
  <c r="S41" i="43" s="1"/>
  <c r="AG9" i="6"/>
  <c r="T41" i="43" s="1"/>
  <c r="AH9" i="6"/>
  <c r="U41" i="43" s="1"/>
  <c r="O5" i="6"/>
  <c r="P5" i="6"/>
  <c r="O6" i="6"/>
  <c r="P6" i="6"/>
  <c r="O7" i="6"/>
  <c r="P7" i="6"/>
  <c r="O9" i="6"/>
  <c r="P9" i="6"/>
  <c r="X5" i="6"/>
  <c r="X6" i="6"/>
  <c r="X7" i="6"/>
  <c r="X9" i="6"/>
  <c r="W5" i="6"/>
  <c r="W6" i="6"/>
  <c r="W7" i="6"/>
  <c r="W9" i="6"/>
  <c r="U5" i="6"/>
  <c r="V5" i="6"/>
  <c r="U6" i="6"/>
  <c r="V6" i="6"/>
  <c r="U7" i="6"/>
  <c r="V7" i="6"/>
  <c r="U9" i="6"/>
  <c r="V9" i="6"/>
  <c r="T5" i="6"/>
  <c r="T6" i="6"/>
  <c r="T7" i="6"/>
  <c r="T9" i="6"/>
  <c r="N5" i="6"/>
  <c r="N6" i="6"/>
  <c r="N7" i="6"/>
  <c r="N9" i="6"/>
  <c r="L5" i="6"/>
  <c r="M5" i="6"/>
  <c r="L6" i="6"/>
  <c r="M6" i="6"/>
  <c r="L7" i="6"/>
  <c r="M7" i="6"/>
  <c r="L9" i="6"/>
  <c r="J41" i="43"/>
  <c r="M9" i="6"/>
  <c r="K41" i="43"/>
  <c r="D41" i="43"/>
  <c r="F41" i="43"/>
  <c r="G41" i="43"/>
  <c r="H41" i="43"/>
  <c r="I41" i="43"/>
  <c r="F42" i="43"/>
  <c r="F43" i="43"/>
  <c r="F44" i="43"/>
  <c r="F45" i="43"/>
  <c r="F46" i="43"/>
  <c r="AU5" i="6"/>
  <c r="AU6" i="6"/>
  <c r="AU7" i="6"/>
  <c r="AU9" i="6"/>
  <c r="C41" i="43"/>
  <c r="AK28" i="35"/>
  <c r="AL28" i="35"/>
  <c r="AK29" i="35"/>
  <c r="AL29" i="35"/>
  <c r="AK30" i="35"/>
  <c r="AL30" i="35"/>
  <c r="AK31" i="35"/>
  <c r="AL31" i="35"/>
  <c r="AK32" i="35"/>
  <c r="AL32" i="35"/>
  <c r="AK33" i="35"/>
  <c r="AL33" i="35"/>
  <c r="AK34" i="35"/>
  <c r="AL34" i="35"/>
  <c r="AK35" i="35"/>
  <c r="AL35" i="35"/>
  <c r="AK36" i="35"/>
  <c r="AL36" i="35"/>
  <c r="AK27" i="35"/>
  <c r="AL27" i="35"/>
  <c r="C125" i="15"/>
  <c r="AT30" i="54"/>
  <c r="AO30" i="54"/>
  <c r="AJ30" i="54"/>
  <c r="AE30" i="54"/>
  <c r="Z30" i="54"/>
  <c r="U30" i="54"/>
  <c r="P30" i="54"/>
  <c r="K30" i="54"/>
  <c r="G30" i="54"/>
  <c r="AT17" i="54"/>
  <c r="AO17" i="54"/>
  <c r="AJ17" i="54"/>
  <c r="AE17" i="54"/>
  <c r="Z17" i="54"/>
  <c r="U17" i="54"/>
  <c r="P17" i="54"/>
  <c r="K17" i="54"/>
  <c r="G17" i="54"/>
  <c r="AT9" i="54"/>
  <c r="AT8" i="54"/>
  <c r="AO9" i="54"/>
  <c r="AO8" i="54"/>
  <c r="AJ9" i="54"/>
  <c r="AJ8" i="54"/>
  <c r="AE9" i="54"/>
  <c r="AE8" i="54"/>
  <c r="Z9" i="54"/>
  <c r="Z8" i="54"/>
  <c r="U9" i="54"/>
  <c r="U8" i="54"/>
  <c r="P9" i="54"/>
  <c r="P8" i="54"/>
  <c r="K8" i="54"/>
  <c r="K9" i="54"/>
  <c r="C30" i="54"/>
  <c r="C17" i="54"/>
  <c r="G9" i="54"/>
  <c r="C9" i="54"/>
  <c r="G8" i="54"/>
  <c r="C8" i="54"/>
  <c r="S43" i="35"/>
  <c r="V43" i="35" s="1"/>
  <c r="Y43" i="35" s="1"/>
  <c r="S44" i="35"/>
  <c r="V44" i="35" s="1"/>
  <c r="Y44" i="35" s="1"/>
  <c r="S45" i="35"/>
  <c r="V45" i="35" s="1"/>
  <c r="Y45" i="35" s="1"/>
  <c r="S46" i="35"/>
  <c r="V46" i="35" s="1"/>
  <c r="Y46" i="35" s="1"/>
  <c r="S47" i="35"/>
  <c r="V47" i="35" s="1"/>
  <c r="Y47" i="35" s="1"/>
  <c r="S48" i="35"/>
  <c r="V48" i="35" s="1"/>
  <c r="Y48" i="35" s="1"/>
  <c r="S49" i="35"/>
  <c r="V49" i="35" s="1"/>
  <c r="Y49" i="35" s="1"/>
  <c r="S50" i="35"/>
  <c r="V50" i="35" s="1"/>
  <c r="Y50" i="35" s="1"/>
  <c r="S51" i="35"/>
  <c r="V51" i="35" s="1"/>
  <c r="Y51" i="35" s="1"/>
  <c r="B5" i="38"/>
  <c r="BC497" i="3"/>
  <c r="BB497" i="3"/>
  <c r="BA497" i="3"/>
  <c r="AZ497" i="3"/>
  <c r="AY497" i="3"/>
  <c r="AX497" i="3"/>
  <c r="AW497" i="3"/>
  <c r="AV497" i="3"/>
  <c r="AU497" i="3"/>
  <c r="AT497" i="3"/>
  <c r="AS497" i="3"/>
  <c r="AR497" i="3"/>
  <c r="AQ497" i="3"/>
  <c r="AP497" i="3"/>
  <c r="AO497" i="3"/>
  <c r="BC496" i="3"/>
  <c r="BB496" i="3"/>
  <c r="BA496" i="3"/>
  <c r="AZ496" i="3"/>
  <c r="AY496" i="3"/>
  <c r="AX496" i="3"/>
  <c r="AW496" i="3"/>
  <c r="AV496" i="3"/>
  <c r="AU496" i="3"/>
  <c r="AT496" i="3"/>
  <c r="AS496" i="3"/>
  <c r="AR496" i="3"/>
  <c r="AQ496" i="3"/>
  <c r="AP496" i="3"/>
  <c r="AO496" i="3"/>
  <c r="BC495" i="3"/>
  <c r="BB495" i="3"/>
  <c r="BA495" i="3"/>
  <c r="AZ495" i="3"/>
  <c r="AY495" i="3"/>
  <c r="AX495" i="3"/>
  <c r="AW495" i="3"/>
  <c r="AV495" i="3"/>
  <c r="AU495" i="3"/>
  <c r="AT495" i="3"/>
  <c r="AS495" i="3"/>
  <c r="AR495" i="3"/>
  <c r="AQ495" i="3"/>
  <c r="AP495" i="3"/>
  <c r="AO495" i="3"/>
  <c r="BC494" i="3"/>
  <c r="BB494" i="3"/>
  <c r="BA494" i="3"/>
  <c r="AZ494" i="3"/>
  <c r="AY494" i="3"/>
  <c r="AX494" i="3"/>
  <c r="AW494" i="3"/>
  <c r="AV494" i="3"/>
  <c r="AU494" i="3"/>
  <c r="AT494" i="3"/>
  <c r="AS494" i="3"/>
  <c r="AR494" i="3"/>
  <c r="AQ494" i="3"/>
  <c r="AP494" i="3"/>
  <c r="AO494" i="3"/>
  <c r="BC493" i="3"/>
  <c r="BB493" i="3"/>
  <c r="BA493" i="3"/>
  <c r="AZ493" i="3"/>
  <c r="AY493" i="3"/>
  <c r="AX493" i="3"/>
  <c r="AW493" i="3"/>
  <c r="AV493" i="3"/>
  <c r="AU493" i="3"/>
  <c r="AT493" i="3"/>
  <c r="AS493" i="3"/>
  <c r="AR493" i="3"/>
  <c r="AQ493" i="3"/>
  <c r="AP493" i="3"/>
  <c r="AO493" i="3"/>
  <c r="BC492" i="3"/>
  <c r="BB492" i="3"/>
  <c r="BA492" i="3"/>
  <c r="AZ492" i="3"/>
  <c r="AY492" i="3"/>
  <c r="AX492" i="3"/>
  <c r="AW492" i="3"/>
  <c r="AV492" i="3"/>
  <c r="AU492" i="3"/>
  <c r="AT492" i="3"/>
  <c r="AS492" i="3"/>
  <c r="AR492" i="3"/>
  <c r="AQ492" i="3"/>
  <c r="AP492" i="3"/>
  <c r="AO492" i="3"/>
  <c r="BC491" i="3"/>
  <c r="BB491" i="3"/>
  <c r="BA491" i="3"/>
  <c r="AZ491" i="3"/>
  <c r="AY491" i="3"/>
  <c r="AX491" i="3"/>
  <c r="AW491" i="3"/>
  <c r="AV491" i="3"/>
  <c r="AU491" i="3"/>
  <c r="AT491" i="3"/>
  <c r="AS491" i="3"/>
  <c r="AR491" i="3"/>
  <c r="AQ491" i="3"/>
  <c r="AP491" i="3"/>
  <c r="AO491" i="3"/>
  <c r="BC490" i="3"/>
  <c r="BB490" i="3"/>
  <c r="BA490" i="3"/>
  <c r="AZ490" i="3"/>
  <c r="AY490" i="3"/>
  <c r="AX490" i="3"/>
  <c r="AW490" i="3"/>
  <c r="AV490" i="3"/>
  <c r="AU490" i="3"/>
  <c r="AT490" i="3"/>
  <c r="AS490" i="3"/>
  <c r="AR490" i="3"/>
  <c r="AQ490" i="3"/>
  <c r="AP490" i="3"/>
  <c r="AO490" i="3"/>
  <c r="BC489" i="3"/>
  <c r="BB489" i="3"/>
  <c r="BA489" i="3"/>
  <c r="AZ489" i="3"/>
  <c r="AY489" i="3"/>
  <c r="AX489" i="3"/>
  <c r="AW489" i="3"/>
  <c r="AV489" i="3"/>
  <c r="AU489" i="3"/>
  <c r="AT489" i="3"/>
  <c r="AS489" i="3"/>
  <c r="AR489" i="3"/>
  <c r="AQ489" i="3"/>
  <c r="AP489" i="3"/>
  <c r="AO489" i="3"/>
  <c r="BC488" i="3"/>
  <c r="BB488" i="3"/>
  <c r="BA488" i="3"/>
  <c r="AZ488" i="3"/>
  <c r="AY488" i="3"/>
  <c r="AX488" i="3"/>
  <c r="AW488" i="3"/>
  <c r="AV488" i="3"/>
  <c r="AU488" i="3"/>
  <c r="AT488" i="3"/>
  <c r="AS488" i="3"/>
  <c r="AR488" i="3"/>
  <c r="AQ488" i="3"/>
  <c r="AP488" i="3"/>
  <c r="AO488" i="3"/>
  <c r="AT486" i="3"/>
  <c r="AT485" i="3"/>
  <c r="AT484" i="3"/>
  <c r="AT483" i="3"/>
  <c r="AT482" i="3"/>
  <c r="AT481" i="3"/>
  <c r="AT480" i="3"/>
  <c r="AS486" i="3"/>
  <c r="AR486" i="3"/>
  <c r="AQ486" i="3"/>
  <c r="AP486" i="3"/>
  <c r="AO486" i="3"/>
  <c r="AT33" i="54"/>
  <c r="AO33" i="54"/>
  <c r="AJ33" i="54"/>
  <c r="AE33" i="54"/>
  <c r="Z33" i="54"/>
  <c r="U33" i="54"/>
  <c r="P33" i="54"/>
  <c r="K33" i="54"/>
  <c r="G33" i="54"/>
  <c r="C33" i="54"/>
  <c r="AT32" i="54"/>
  <c r="AO32" i="54"/>
  <c r="AJ32" i="54"/>
  <c r="AE32" i="54"/>
  <c r="Z32" i="54"/>
  <c r="U32" i="54"/>
  <c r="P32" i="54"/>
  <c r="K32" i="54"/>
  <c r="G32" i="54"/>
  <c r="C32" i="54"/>
  <c r="AT31" i="54"/>
  <c r="AO31" i="54"/>
  <c r="AJ31" i="54"/>
  <c r="AE31" i="54"/>
  <c r="Z31" i="54"/>
  <c r="U31" i="54"/>
  <c r="P31" i="54"/>
  <c r="K31" i="54"/>
  <c r="G31" i="54"/>
  <c r="C31" i="54"/>
  <c r="AT29" i="54"/>
  <c r="AO29" i="54"/>
  <c r="AJ29" i="54"/>
  <c r="AE29" i="54"/>
  <c r="Z29" i="54"/>
  <c r="U29" i="54"/>
  <c r="P29" i="54"/>
  <c r="K29" i="54"/>
  <c r="G29" i="54"/>
  <c r="C29" i="54"/>
  <c r="AT28" i="54"/>
  <c r="AO28" i="54"/>
  <c r="AJ28" i="54"/>
  <c r="AE28" i="54"/>
  <c r="Z28" i="54"/>
  <c r="U28" i="54"/>
  <c r="P28" i="54"/>
  <c r="K28" i="54"/>
  <c r="G28" i="54"/>
  <c r="C28" i="54"/>
  <c r="AT20" i="54"/>
  <c r="AO20" i="54"/>
  <c r="AJ20" i="54"/>
  <c r="AE20" i="54"/>
  <c r="Z20" i="54"/>
  <c r="U20" i="54"/>
  <c r="P20" i="54"/>
  <c r="K20" i="54"/>
  <c r="G20" i="54"/>
  <c r="C20" i="54"/>
  <c r="AT19" i="54"/>
  <c r="AO19" i="54"/>
  <c r="AJ19" i="54"/>
  <c r="AE19" i="54"/>
  <c r="Z19" i="54"/>
  <c r="U19" i="54"/>
  <c r="P19" i="54"/>
  <c r="K19" i="54"/>
  <c r="G19" i="54"/>
  <c r="C19" i="54"/>
  <c r="AT18" i="54"/>
  <c r="AO18" i="54"/>
  <c r="AJ18" i="54"/>
  <c r="AE18" i="54"/>
  <c r="Z18" i="54"/>
  <c r="U18" i="54"/>
  <c r="P18" i="54"/>
  <c r="K18" i="54"/>
  <c r="G18" i="54"/>
  <c r="C18" i="54"/>
  <c r="AT16" i="54"/>
  <c r="AO16" i="54"/>
  <c r="AJ16" i="54"/>
  <c r="AE16" i="54"/>
  <c r="Z16" i="54"/>
  <c r="U16" i="54"/>
  <c r="P16" i="54"/>
  <c r="K16" i="54"/>
  <c r="G16" i="54"/>
  <c r="C16" i="54"/>
  <c r="AT7" i="54"/>
  <c r="AO7" i="54"/>
  <c r="AJ7" i="54"/>
  <c r="AE7" i="54"/>
  <c r="Z7" i="54"/>
  <c r="U7" i="54"/>
  <c r="P7" i="54"/>
  <c r="K7" i="54"/>
  <c r="G7" i="54"/>
  <c r="C7" i="54"/>
  <c r="AT6" i="54"/>
  <c r="AO6" i="54"/>
  <c r="AJ6" i="54"/>
  <c r="AE6" i="54"/>
  <c r="Z6" i="54"/>
  <c r="U6" i="54"/>
  <c r="P6" i="54"/>
  <c r="K6" i="54"/>
  <c r="G6" i="54"/>
  <c r="C6" i="54"/>
  <c r="AT5" i="54"/>
  <c r="AO5" i="54"/>
  <c r="AJ5" i="54"/>
  <c r="AE5" i="54"/>
  <c r="Z5" i="54"/>
  <c r="U5" i="54"/>
  <c r="P5" i="54"/>
  <c r="K5" i="54"/>
  <c r="G5" i="54"/>
  <c r="C5" i="54"/>
  <c r="AT4" i="54"/>
  <c r="AO4" i="54"/>
  <c r="AJ4" i="54"/>
  <c r="AE4" i="54"/>
  <c r="Z4" i="54"/>
  <c r="U4" i="54"/>
  <c r="P4" i="54"/>
  <c r="K4" i="54"/>
  <c r="G4" i="54"/>
  <c r="C4" i="54"/>
  <c r="C41" i="23"/>
  <c r="C31" i="25"/>
  <c r="C33" i="45"/>
  <c r="E57" i="35"/>
  <c r="E56" i="35"/>
  <c r="W56" i="35" s="1"/>
  <c r="W57" i="35" s="1"/>
  <c r="C57" i="35"/>
  <c r="K57" i="35" s="1"/>
  <c r="G57" i="35"/>
  <c r="L57" i="35"/>
  <c r="N57" i="35"/>
  <c r="O57" i="35"/>
  <c r="R57" i="35"/>
  <c r="C127" i="9"/>
  <c r="B63" i="52"/>
  <c r="C79" i="23"/>
  <c r="D78" i="51"/>
  <c r="D43" i="41"/>
  <c r="K43" i="41"/>
  <c r="K23" i="41"/>
  <c r="K24" i="41"/>
  <c r="K25" i="41"/>
  <c r="K26" i="41"/>
  <c r="K28" i="41"/>
  <c r="K29" i="41"/>
  <c r="K30" i="41"/>
  <c r="K27" i="41"/>
  <c r="K31" i="41"/>
  <c r="S42" i="35"/>
  <c r="V42" i="35" s="1"/>
  <c r="Y42" i="35" s="1"/>
  <c r="B47" i="45"/>
  <c r="L47" i="45"/>
  <c r="C33" i="26"/>
  <c r="C79" i="22"/>
  <c r="C51" i="24"/>
  <c r="K79" i="22"/>
  <c r="H12" i="53"/>
  <c r="B5" i="31"/>
  <c r="C123" i="36"/>
  <c r="C124" i="37"/>
  <c r="O123" i="36"/>
  <c r="M118" i="36"/>
  <c r="H7" i="36"/>
  <c r="H5" i="36"/>
  <c r="B5" i="36"/>
  <c r="M118" i="37"/>
  <c r="H7" i="37"/>
  <c r="H5" i="37"/>
  <c r="B5" i="37"/>
  <c r="M118" i="38"/>
  <c r="H7" i="38"/>
  <c r="H5" i="38"/>
  <c r="N125" i="39"/>
  <c r="C125" i="39"/>
  <c r="C124" i="40"/>
  <c r="M118" i="39"/>
  <c r="H7" i="39"/>
  <c r="H5" i="39"/>
  <c r="B5" i="39"/>
  <c r="M118" i="40"/>
  <c r="H7" i="40"/>
  <c r="H5" i="40"/>
  <c r="B5" i="40"/>
  <c r="M118" i="30"/>
  <c r="H7" i="30"/>
  <c r="H5" i="30"/>
  <c r="B5" i="30"/>
  <c r="N125" i="31"/>
  <c r="C125" i="31"/>
  <c r="C123" i="29"/>
  <c r="M118" i="31"/>
  <c r="H7" i="31"/>
  <c r="H5" i="31"/>
  <c r="M117" i="29"/>
  <c r="M118" i="15"/>
  <c r="H7" i="29"/>
  <c r="H5" i="29"/>
  <c r="B5" i="29"/>
  <c r="B5" i="15"/>
  <c r="B6" i="9"/>
  <c r="B51" i="52"/>
  <c r="C9" i="23"/>
  <c r="H10" i="53"/>
  <c r="C10" i="53"/>
  <c r="H8" i="53"/>
  <c r="H6" i="53"/>
  <c r="C8" i="53"/>
  <c r="C6" i="53"/>
  <c r="H7" i="15"/>
  <c r="H5" i="15"/>
  <c r="H8" i="9"/>
  <c r="H6" i="9"/>
  <c r="F34" i="43"/>
  <c r="F35" i="43"/>
  <c r="F36" i="43"/>
  <c r="B37" i="43"/>
  <c r="C37" i="43"/>
  <c r="D37" i="43"/>
  <c r="F37" i="43"/>
  <c r="G37" i="43"/>
  <c r="H37" i="43"/>
  <c r="I37" i="43"/>
  <c r="J37" i="43"/>
  <c r="K37" i="43"/>
  <c r="B38" i="43"/>
  <c r="C38" i="43"/>
  <c r="D38" i="43"/>
  <c r="F38" i="43"/>
  <c r="G38" i="43"/>
  <c r="H38" i="43"/>
  <c r="I38" i="43"/>
  <c r="J38" i="43"/>
  <c r="K38" i="43"/>
  <c r="B39" i="43"/>
  <c r="C39" i="43"/>
  <c r="D39" i="43"/>
  <c r="F39" i="43"/>
  <c r="G39" i="43"/>
  <c r="H39" i="43"/>
  <c r="I39" i="43"/>
  <c r="J39" i="43"/>
  <c r="K39" i="43"/>
  <c r="F40" i="43"/>
  <c r="B41" i="43"/>
  <c r="V63" i="35"/>
  <c r="V64" i="35"/>
  <c r="V62" i="35"/>
  <c r="U63" i="35"/>
  <c r="U64" i="35"/>
  <c r="U62" i="35"/>
  <c r="P63" i="35"/>
  <c r="P64" i="35"/>
  <c r="P62" i="35"/>
  <c r="O63" i="35"/>
  <c r="O64" i="35"/>
  <c r="O62" i="35"/>
  <c r="AP243" i="3"/>
  <c r="AQ243" i="3"/>
  <c r="AR243" i="3"/>
  <c r="AS243" i="3"/>
  <c r="AT243" i="3"/>
  <c r="AU243" i="3"/>
  <c r="AV243" i="3"/>
  <c r="AW243" i="3"/>
  <c r="AX243" i="3"/>
  <c r="AY243" i="3"/>
  <c r="AZ243" i="3"/>
  <c r="BA243" i="3"/>
  <c r="BB243" i="3"/>
  <c r="BC243" i="3"/>
  <c r="AO243" i="3"/>
  <c r="AO219" i="3"/>
  <c r="AP241" i="3"/>
  <c r="AQ241" i="3"/>
  <c r="AR241" i="3"/>
  <c r="AS241" i="3"/>
  <c r="AT241" i="3"/>
  <c r="AU241" i="3"/>
  <c r="AV241" i="3"/>
  <c r="AW241" i="3"/>
  <c r="AX241" i="3"/>
  <c r="AY241" i="3"/>
  <c r="AZ241" i="3"/>
  <c r="BA241" i="3"/>
  <c r="BB241" i="3"/>
  <c r="BC241" i="3"/>
  <c r="AP240" i="3"/>
  <c r="AQ240" i="3"/>
  <c r="AR240" i="3"/>
  <c r="AS240" i="3"/>
  <c r="AT240" i="3"/>
  <c r="AU240" i="3"/>
  <c r="AV240" i="3"/>
  <c r="AW240" i="3"/>
  <c r="AX240" i="3"/>
  <c r="AY240" i="3"/>
  <c r="AZ240" i="3"/>
  <c r="BA240" i="3"/>
  <c r="BB240" i="3"/>
  <c r="BC240" i="3"/>
  <c r="AO240" i="3"/>
  <c r="AO241" i="3"/>
  <c r="AP239" i="3"/>
  <c r="AQ239" i="3"/>
  <c r="AR239" i="3"/>
  <c r="AS239" i="3"/>
  <c r="AT239" i="3"/>
  <c r="AU239" i="3"/>
  <c r="AV239" i="3"/>
  <c r="AW239" i="3"/>
  <c r="AX239" i="3"/>
  <c r="AY239" i="3"/>
  <c r="AZ239" i="3"/>
  <c r="BA239" i="3"/>
  <c r="BB239" i="3"/>
  <c r="BC239" i="3"/>
  <c r="AO239" i="3"/>
  <c r="AO215" i="3"/>
  <c r="AO237" i="3"/>
  <c r="BC237" i="3"/>
  <c r="BB237" i="3"/>
  <c r="BA237" i="3"/>
  <c r="AZ237" i="3"/>
  <c r="AY237" i="3"/>
  <c r="AX237" i="3"/>
  <c r="AW237" i="3"/>
  <c r="AV237" i="3"/>
  <c r="AU237" i="3"/>
  <c r="AT237" i="3"/>
  <c r="AS237" i="3"/>
  <c r="AR237" i="3"/>
  <c r="AQ237" i="3"/>
  <c r="AP237" i="3"/>
  <c r="AO213" i="3"/>
  <c r="BC235" i="3"/>
  <c r="BB235" i="3"/>
  <c r="BA235" i="3"/>
  <c r="AZ235" i="3"/>
  <c r="AY235" i="3"/>
  <c r="AX235" i="3"/>
  <c r="AW235" i="3"/>
  <c r="AV235" i="3"/>
  <c r="AU235" i="3"/>
  <c r="AT235" i="3"/>
  <c r="AS235" i="3"/>
  <c r="AR235" i="3"/>
  <c r="AQ235" i="3"/>
  <c r="AP235" i="3"/>
  <c r="AO235" i="3"/>
  <c r="AO211" i="3"/>
  <c r="BC232" i="3"/>
  <c r="BC233" i="3"/>
  <c r="BC231" i="3"/>
  <c r="BB232" i="3"/>
  <c r="BB233" i="3"/>
  <c r="BB231" i="3"/>
  <c r="BA232" i="3"/>
  <c r="BA233" i="3"/>
  <c r="BA231" i="3"/>
  <c r="AZ232" i="3"/>
  <c r="AZ233" i="3"/>
  <c r="AZ231" i="3"/>
  <c r="AY232" i="3"/>
  <c r="AY233" i="3"/>
  <c r="AY231" i="3"/>
  <c r="AX231" i="3"/>
  <c r="AX232" i="3"/>
  <c r="AX233" i="3"/>
  <c r="AW232" i="3"/>
  <c r="AW233" i="3"/>
  <c r="AW231" i="3"/>
  <c r="AV232" i="3"/>
  <c r="AV233" i="3"/>
  <c r="AV231" i="3"/>
  <c r="AU232" i="3"/>
  <c r="AU233" i="3"/>
  <c r="AU231" i="3"/>
  <c r="AT232" i="3"/>
  <c r="AT233" i="3"/>
  <c r="AT231" i="3"/>
  <c r="AS232" i="3"/>
  <c r="AS233" i="3"/>
  <c r="AS231" i="3"/>
  <c r="AR232" i="3"/>
  <c r="AR233" i="3"/>
  <c r="AR231" i="3"/>
  <c r="AQ232" i="3"/>
  <c r="AQ233" i="3"/>
  <c r="AQ231" i="3"/>
  <c r="AP232" i="3"/>
  <c r="AP233" i="3"/>
  <c r="AP231" i="3"/>
  <c r="AO231" i="3"/>
  <c r="AO232" i="3"/>
  <c r="AO233" i="3"/>
  <c r="AO208" i="3"/>
  <c r="AO209" i="3"/>
  <c r="AO207" i="3"/>
  <c r="BC229" i="3"/>
  <c r="BB229" i="3"/>
  <c r="BA229" i="3"/>
  <c r="AZ229" i="3"/>
  <c r="AY229" i="3"/>
  <c r="AX229" i="3"/>
  <c r="AW229" i="3"/>
  <c r="AV229" i="3"/>
  <c r="AU229" i="3"/>
  <c r="AT229" i="3"/>
  <c r="AS229" i="3"/>
  <c r="AR229" i="3"/>
  <c r="AQ229" i="3"/>
  <c r="AP229" i="3"/>
  <c r="AO133" i="3"/>
  <c r="AO229" i="3"/>
  <c r="AO205" i="3"/>
  <c r="AP205" i="3" s="1"/>
  <c r="BB219" i="3"/>
  <c r="BA219" i="3"/>
  <c r="AY219" i="3"/>
  <c r="AX219" i="3"/>
  <c r="AV219" i="3"/>
  <c r="AU219" i="3"/>
  <c r="AS219" i="3"/>
  <c r="AR219" i="3"/>
  <c r="AP219" i="3"/>
  <c r="AO195" i="3"/>
  <c r="BA216" i="3"/>
  <c r="BA217" i="3"/>
  <c r="AY216" i="3"/>
  <c r="AY217" i="3"/>
  <c r="AX216" i="3"/>
  <c r="AX217" i="3"/>
  <c r="AV216" i="3"/>
  <c r="AV217" i="3"/>
  <c r="AU216" i="3"/>
  <c r="AU217" i="3"/>
  <c r="AS216" i="3"/>
  <c r="AS217" i="3"/>
  <c r="AR216" i="3"/>
  <c r="AR217" i="3"/>
  <c r="AP216" i="3"/>
  <c r="AP217" i="3"/>
  <c r="AO216" i="3"/>
  <c r="AO217" i="3"/>
  <c r="BB215" i="3"/>
  <c r="BB216" i="3" s="1"/>
  <c r="BB217" i="3" s="1"/>
  <c r="BA215" i="3"/>
  <c r="AY215" i="3"/>
  <c r="AX215" i="3"/>
  <c r="AV215" i="3"/>
  <c r="AU215" i="3"/>
  <c r="AS215" i="3"/>
  <c r="AR215" i="3"/>
  <c r="AP215" i="3"/>
  <c r="AO191" i="3"/>
  <c r="BB213" i="3"/>
  <c r="BA213" i="3"/>
  <c r="AY213" i="3"/>
  <c r="AX213" i="3"/>
  <c r="AV213" i="3"/>
  <c r="AU213" i="3"/>
  <c r="AS213" i="3"/>
  <c r="AR213" i="3"/>
  <c r="AP213" i="3"/>
  <c r="AO189" i="3"/>
  <c r="BB211" i="3"/>
  <c r="BA211" i="3"/>
  <c r="AY211" i="3"/>
  <c r="AX211" i="3"/>
  <c r="AV211" i="3"/>
  <c r="AU211" i="3"/>
  <c r="AS211" i="3"/>
  <c r="AR211" i="3"/>
  <c r="AP211" i="3"/>
  <c r="AO187" i="3"/>
  <c r="BB209" i="3"/>
  <c r="BA209" i="3"/>
  <c r="AY209" i="3"/>
  <c r="AX209" i="3"/>
  <c r="AV209" i="3"/>
  <c r="AU209" i="3"/>
  <c r="AS209" i="3"/>
  <c r="AR209" i="3"/>
  <c r="AP209" i="3"/>
  <c r="AO185" i="3"/>
  <c r="BB208" i="3"/>
  <c r="BA208" i="3"/>
  <c r="AY208" i="3"/>
  <c r="AX208" i="3"/>
  <c r="AV208" i="3"/>
  <c r="AU208" i="3"/>
  <c r="AS208" i="3"/>
  <c r="AR208" i="3"/>
  <c r="AP208" i="3"/>
  <c r="AO184" i="3"/>
  <c r="BB207" i="3"/>
  <c r="BA207" i="3"/>
  <c r="AY207" i="3"/>
  <c r="AX207" i="3"/>
  <c r="AV207" i="3"/>
  <c r="AU207" i="3"/>
  <c r="AS207" i="3"/>
  <c r="AP207" i="3"/>
  <c r="AR207" i="3"/>
  <c r="AO183" i="3"/>
  <c r="AO181" i="3"/>
  <c r="BB205" i="3"/>
  <c r="BA205" i="3"/>
  <c r="AY205" i="3"/>
  <c r="AX205" i="3"/>
  <c r="AV205" i="3"/>
  <c r="AU205" i="3"/>
  <c r="AS205" i="3"/>
  <c r="AR205" i="3"/>
  <c r="AP462" i="3"/>
  <c r="AQ462" i="3"/>
  <c r="AR462" i="3"/>
  <c r="AS462" i="3"/>
  <c r="AT462" i="3"/>
  <c r="AU462" i="3"/>
  <c r="AV462" i="3"/>
  <c r="AW462" i="3"/>
  <c r="AX462" i="3"/>
  <c r="AY462" i="3"/>
  <c r="AZ462" i="3"/>
  <c r="BA462" i="3"/>
  <c r="BB462" i="3"/>
  <c r="BC462" i="3"/>
  <c r="AP463" i="3"/>
  <c r="AQ463" i="3"/>
  <c r="AR463" i="3"/>
  <c r="AS463" i="3"/>
  <c r="AT463" i="3"/>
  <c r="AU463" i="3"/>
  <c r="AV463" i="3"/>
  <c r="AW463" i="3"/>
  <c r="AX463" i="3"/>
  <c r="AY463" i="3"/>
  <c r="AZ463" i="3"/>
  <c r="BA463" i="3"/>
  <c r="BB463" i="3"/>
  <c r="BC463" i="3"/>
  <c r="AP464" i="3"/>
  <c r="AQ464" i="3"/>
  <c r="AR464" i="3"/>
  <c r="AS464" i="3"/>
  <c r="AT464" i="3"/>
  <c r="AU464" i="3"/>
  <c r="AV464" i="3"/>
  <c r="AW464" i="3"/>
  <c r="AX464" i="3"/>
  <c r="AY464" i="3"/>
  <c r="AZ464" i="3"/>
  <c r="BA464" i="3"/>
  <c r="BB464" i="3"/>
  <c r="BC464" i="3"/>
  <c r="AP465" i="3"/>
  <c r="AQ465" i="3"/>
  <c r="AR465" i="3"/>
  <c r="AS465" i="3"/>
  <c r="AT465" i="3"/>
  <c r="AU465" i="3"/>
  <c r="AV465" i="3"/>
  <c r="AW465" i="3"/>
  <c r="AX465" i="3"/>
  <c r="AY465" i="3"/>
  <c r="AZ465" i="3"/>
  <c r="BA465" i="3"/>
  <c r="BB465" i="3"/>
  <c r="BC465" i="3"/>
  <c r="AP466" i="3"/>
  <c r="AQ466" i="3"/>
  <c r="AR466" i="3"/>
  <c r="AS466" i="3"/>
  <c r="AT466" i="3"/>
  <c r="AU466" i="3"/>
  <c r="AV466" i="3"/>
  <c r="AW466" i="3"/>
  <c r="AX466" i="3"/>
  <c r="AY466" i="3"/>
  <c r="AZ466" i="3"/>
  <c r="BA466" i="3"/>
  <c r="BB466" i="3"/>
  <c r="BC466" i="3"/>
  <c r="AP467" i="3"/>
  <c r="AQ467" i="3"/>
  <c r="AR467" i="3"/>
  <c r="AS467" i="3"/>
  <c r="AT467" i="3"/>
  <c r="AU467" i="3"/>
  <c r="AV467" i="3"/>
  <c r="AW467" i="3"/>
  <c r="AX467" i="3"/>
  <c r="AY467" i="3"/>
  <c r="AZ467" i="3"/>
  <c r="BA467" i="3"/>
  <c r="BB467" i="3"/>
  <c r="BC467" i="3"/>
  <c r="AP468" i="3"/>
  <c r="AQ468" i="3"/>
  <c r="AR468" i="3"/>
  <c r="AS468" i="3"/>
  <c r="AT468" i="3"/>
  <c r="AU468" i="3"/>
  <c r="AV468" i="3"/>
  <c r="AW468" i="3"/>
  <c r="AX468" i="3"/>
  <c r="AY468" i="3"/>
  <c r="AZ468" i="3"/>
  <c r="BA468" i="3"/>
  <c r="BB468" i="3"/>
  <c r="BC468" i="3"/>
  <c r="AP469" i="3"/>
  <c r="AQ469" i="3"/>
  <c r="AR469" i="3"/>
  <c r="AS469" i="3"/>
  <c r="AT469" i="3"/>
  <c r="AU469" i="3"/>
  <c r="AV469" i="3"/>
  <c r="AW469" i="3"/>
  <c r="AX469" i="3"/>
  <c r="AY469" i="3"/>
  <c r="AZ469" i="3"/>
  <c r="BA469" i="3"/>
  <c r="BB469" i="3"/>
  <c r="BC469" i="3"/>
  <c r="AP470" i="3"/>
  <c r="AQ470" i="3"/>
  <c r="AR470" i="3"/>
  <c r="AS470" i="3"/>
  <c r="AT470" i="3"/>
  <c r="AU470" i="3"/>
  <c r="AV470" i="3"/>
  <c r="AW470" i="3"/>
  <c r="AX470" i="3"/>
  <c r="AY470" i="3"/>
  <c r="AZ470" i="3"/>
  <c r="BA470" i="3"/>
  <c r="BB470" i="3"/>
  <c r="BC470" i="3"/>
  <c r="AP471" i="3"/>
  <c r="AQ471" i="3"/>
  <c r="AR471" i="3"/>
  <c r="AS471" i="3"/>
  <c r="AT471" i="3"/>
  <c r="AU471" i="3"/>
  <c r="AV471" i="3"/>
  <c r="AW471" i="3"/>
  <c r="AX471" i="3"/>
  <c r="AY471" i="3"/>
  <c r="AZ471" i="3"/>
  <c r="BA471" i="3"/>
  <c r="BB471" i="3"/>
  <c r="BC471" i="3"/>
  <c r="AO463" i="3"/>
  <c r="AO464" i="3"/>
  <c r="AO465" i="3"/>
  <c r="AO466" i="3"/>
  <c r="AO467" i="3"/>
  <c r="AO468" i="3"/>
  <c r="AO469" i="3"/>
  <c r="AO470" i="3"/>
  <c r="AO471" i="3"/>
  <c r="AO462" i="3"/>
  <c r="AP451" i="3"/>
  <c r="AQ451" i="3"/>
  <c r="AR451" i="3"/>
  <c r="AS451" i="3"/>
  <c r="AT451" i="3"/>
  <c r="AU451" i="3"/>
  <c r="AV451" i="3"/>
  <c r="AW451" i="3"/>
  <c r="AX451" i="3"/>
  <c r="AY451" i="3"/>
  <c r="AZ451" i="3"/>
  <c r="BA451" i="3"/>
  <c r="BB451" i="3"/>
  <c r="BC451" i="3"/>
  <c r="AP452" i="3"/>
  <c r="AQ452" i="3"/>
  <c r="AR452" i="3"/>
  <c r="AS452" i="3"/>
  <c r="AT452" i="3"/>
  <c r="AU452" i="3"/>
  <c r="AV452" i="3"/>
  <c r="AW452" i="3"/>
  <c r="AX452" i="3"/>
  <c r="AY452" i="3"/>
  <c r="AZ452" i="3"/>
  <c r="BA452" i="3"/>
  <c r="BB452" i="3"/>
  <c r="BC452" i="3"/>
  <c r="AP453" i="3"/>
  <c r="AQ453" i="3"/>
  <c r="AR453" i="3"/>
  <c r="AS453" i="3"/>
  <c r="AT453" i="3"/>
  <c r="AU453" i="3"/>
  <c r="AV453" i="3"/>
  <c r="AW453" i="3"/>
  <c r="AX453" i="3"/>
  <c r="AY453" i="3"/>
  <c r="AZ453" i="3"/>
  <c r="BA453" i="3"/>
  <c r="BB453" i="3"/>
  <c r="BC453" i="3"/>
  <c r="AP454" i="3"/>
  <c r="AQ454" i="3"/>
  <c r="AR454" i="3"/>
  <c r="AS454" i="3"/>
  <c r="AT454" i="3"/>
  <c r="AU454" i="3"/>
  <c r="AV454" i="3"/>
  <c r="AW454" i="3"/>
  <c r="AX454" i="3"/>
  <c r="AY454" i="3"/>
  <c r="AZ454" i="3"/>
  <c r="BA454" i="3"/>
  <c r="BB454" i="3"/>
  <c r="BC454" i="3"/>
  <c r="AP455" i="3"/>
  <c r="AQ455" i="3"/>
  <c r="AR455" i="3"/>
  <c r="AS455" i="3"/>
  <c r="AT455" i="3"/>
  <c r="AU455" i="3"/>
  <c r="AV455" i="3"/>
  <c r="AW455" i="3"/>
  <c r="AX455" i="3"/>
  <c r="AY455" i="3"/>
  <c r="AZ455" i="3"/>
  <c r="BA455" i="3"/>
  <c r="BB455" i="3"/>
  <c r="BC455" i="3"/>
  <c r="AP456" i="3"/>
  <c r="AQ456" i="3"/>
  <c r="AR456" i="3"/>
  <c r="AS456" i="3"/>
  <c r="AT456" i="3"/>
  <c r="AU456" i="3"/>
  <c r="AV456" i="3"/>
  <c r="AW456" i="3"/>
  <c r="AX456" i="3"/>
  <c r="AY456" i="3"/>
  <c r="AZ456" i="3"/>
  <c r="BA456" i="3"/>
  <c r="BB456" i="3"/>
  <c r="BC456" i="3"/>
  <c r="AP457" i="3"/>
  <c r="AQ457" i="3"/>
  <c r="AR457" i="3"/>
  <c r="AS457" i="3"/>
  <c r="AT457" i="3"/>
  <c r="AU457" i="3"/>
  <c r="AV457" i="3"/>
  <c r="AW457" i="3"/>
  <c r="AX457" i="3"/>
  <c r="AY457" i="3"/>
  <c r="AZ457" i="3"/>
  <c r="BA457" i="3"/>
  <c r="BB457" i="3"/>
  <c r="BC457" i="3"/>
  <c r="AP458" i="3"/>
  <c r="AQ458" i="3"/>
  <c r="AR458" i="3"/>
  <c r="AS458" i="3"/>
  <c r="AT458" i="3"/>
  <c r="AU458" i="3"/>
  <c r="AV458" i="3"/>
  <c r="AW458" i="3"/>
  <c r="AX458" i="3"/>
  <c r="AY458" i="3"/>
  <c r="AZ458" i="3"/>
  <c r="BA458" i="3"/>
  <c r="BB458" i="3"/>
  <c r="BC458" i="3"/>
  <c r="AP459" i="3"/>
  <c r="AQ459" i="3"/>
  <c r="AR459" i="3"/>
  <c r="AS459" i="3"/>
  <c r="AT459" i="3"/>
  <c r="AU459" i="3"/>
  <c r="AV459" i="3"/>
  <c r="AW459" i="3"/>
  <c r="AX459" i="3"/>
  <c r="AY459" i="3"/>
  <c r="AZ459" i="3"/>
  <c r="BA459" i="3"/>
  <c r="BB459" i="3"/>
  <c r="BC459" i="3"/>
  <c r="AP460" i="3"/>
  <c r="AQ460" i="3"/>
  <c r="AR460" i="3"/>
  <c r="AS460" i="3"/>
  <c r="AT460" i="3"/>
  <c r="AU460" i="3"/>
  <c r="AV460" i="3"/>
  <c r="AW460" i="3"/>
  <c r="AX460" i="3"/>
  <c r="AY460" i="3"/>
  <c r="AZ460" i="3"/>
  <c r="BA460" i="3"/>
  <c r="BB460" i="3"/>
  <c r="BC460" i="3"/>
  <c r="AO452" i="3"/>
  <c r="AO453" i="3"/>
  <c r="AO454" i="3"/>
  <c r="AO455" i="3"/>
  <c r="AO456" i="3"/>
  <c r="AO457" i="3"/>
  <c r="AO458" i="3"/>
  <c r="AO459" i="3"/>
  <c r="AO460" i="3"/>
  <c r="AO451" i="3"/>
  <c r="AP443" i="3"/>
  <c r="AQ443" i="3"/>
  <c r="AR443" i="3"/>
  <c r="AS443" i="3"/>
  <c r="AT443" i="3"/>
  <c r="AU443" i="3"/>
  <c r="AV443" i="3"/>
  <c r="AW443" i="3"/>
  <c r="AX443" i="3"/>
  <c r="AY443" i="3"/>
  <c r="AZ443" i="3"/>
  <c r="BA443" i="3"/>
  <c r="BB443" i="3"/>
  <c r="BC443" i="3"/>
  <c r="AP444" i="3"/>
  <c r="AQ444" i="3"/>
  <c r="AR444" i="3"/>
  <c r="AS444" i="3"/>
  <c r="AT444" i="3"/>
  <c r="AU444" i="3"/>
  <c r="AV444" i="3"/>
  <c r="AW444" i="3"/>
  <c r="AX444" i="3"/>
  <c r="AY444" i="3"/>
  <c r="AZ444" i="3"/>
  <c r="BA444" i="3"/>
  <c r="BB444" i="3"/>
  <c r="BC444" i="3"/>
  <c r="AP445" i="3"/>
  <c r="AQ445" i="3"/>
  <c r="AR445" i="3"/>
  <c r="AS445" i="3"/>
  <c r="AT445" i="3"/>
  <c r="AU445" i="3"/>
  <c r="AV445" i="3"/>
  <c r="AW445" i="3"/>
  <c r="AX445" i="3"/>
  <c r="AY445" i="3"/>
  <c r="AZ445" i="3"/>
  <c r="BA445" i="3"/>
  <c r="BB445" i="3"/>
  <c r="BC445" i="3"/>
  <c r="AP446" i="3"/>
  <c r="AQ446" i="3"/>
  <c r="AR446" i="3"/>
  <c r="AS446" i="3"/>
  <c r="AT446" i="3"/>
  <c r="AU446" i="3"/>
  <c r="AV446" i="3"/>
  <c r="AW446" i="3"/>
  <c r="AX446" i="3"/>
  <c r="AY446" i="3"/>
  <c r="AZ446" i="3"/>
  <c r="BA446" i="3"/>
  <c r="BB446" i="3"/>
  <c r="BC446" i="3"/>
  <c r="AP447" i="3"/>
  <c r="AQ447" i="3"/>
  <c r="AR447" i="3"/>
  <c r="AS447" i="3"/>
  <c r="AT447" i="3"/>
  <c r="AU447" i="3"/>
  <c r="AV447" i="3"/>
  <c r="AW447" i="3"/>
  <c r="AX447" i="3"/>
  <c r="AY447" i="3"/>
  <c r="AZ447" i="3"/>
  <c r="BA447" i="3"/>
  <c r="BB447" i="3"/>
  <c r="BC447" i="3"/>
  <c r="AP448" i="3"/>
  <c r="AQ448" i="3"/>
  <c r="AR448" i="3"/>
  <c r="AS448" i="3"/>
  <c r="AT448" i="3"/>
  <c r="AU448" i="3"/>
  <c r="AV448" i="3"/>
  <c r="AW448" i="3"/>
  <c r="AX448" i="3"/>
  <c r="AY448" i="3"/>
  <c r="AZ448" i="3"/>
  <c r="BA448" i="3"/>
  <c r="BB448" i="3"/>
  <c r="BC448" i="3"/>
  <c r="AP449" i="3"/>
  <c r="AQ449" i="3"/>
  <c r="AR449" i="3"/>
  <c r="AS449" i="3"/>
  <c r="AT449" i="3"/>
  <c r="AU449" i="3"/>
  <c r="AV449" i="3"/>
  <c r="AW449" i="3"/>
  <c r="AX449" i="3"/>
  <c r="AY449" i="3"/>
  <c r="AZ449" i="3"/>
  <c r="BA449" i="3"/>
  <c r="BB449" i="3"/>
  <c r="BC449" i="3"/>
  <c r="AO444" i="3"/>
  <c r="AO445" i="3"/>
  <c r="AO446" i="3"/>
  <c r="AO447" i="3"/>
  <c r="AO448" i="3"/>
  <c r="AO449" i="3"/>
  <c r="AO443" i="3"/>
  <c r="AP432" i="3"/>
  <c r="AQ432" i="3"/>
  <c r="AR432" i="3"/>
  <c r="AS432" i="3"/>
  <c r="AT432" i="3"/>
  <c r="AU432" i="3"/>
  <c r="AV432" i="3"/>
  <c r="AW432" i="3"/>
  <c r="AX432" i="3"/>
  <c r="AY432" i="3"/>
  <c r="AZ432" i="3"/>
  <c r="BA432" i="3"/>
  <c r="BB432" i="3"/>
  <c r="BC432" i="3"/>
  <c r="AP433" i="3"/>
  <c r="AQ433" i="3"/>
  <c r="AR433" i="3"/>
  <c r="AS433" i="3"/>
  <c r="AT433" i="3"/>
  <c r="AU433" i="3"/>
  <c r="AV433" i="3"/>
  <c r="AW433" i="3"/>
  <c r="AX433" i="3"/>
  <c r="AY433" i="3"/>
  <c r="AZ433" i="3"/>
  <c r="BA433" i="3"/>
  <c r="BB433" i="3"/>
  <c r="BC433" i="3"/>
  <c r="AP434" i="3"/>
  <c r="AQ434" i="3"/>
  <c r="AR434" i="3"/>
  <c r="AS434" i="3"/>
  <c r="AT434" i="3"/>
  <c r="AU434" i="3"/>
  <c r="AV434" i="3"/>
  <c r="AW434" i="3"/>
  <c r="AX434" i="3"/>
  <c r="AY434" i="3"/>
  <c r="AZ434" i="3"/>
  <c r="BA434" i="3"/>
  <c r="BB434" i="3"/>
  <c r="BC434" i="3"/>
  <c r="AP435" i="3"/>
  <c r="AQ435" i="3"/>
  <c r="AR435" i="3"/>
  <c r="AS435" i="3"/>
  <c r="AT435" i="3"/>
  <c r="AU435" i="3"/>
  <c r="AV435" i="3"/>
  <c r="AW435" i="3"/>
  <c r="AX435" i="3"/>
  <c r="AY435" i="3"/>
  <c r="AZ435" i="3"/>
  <c r="BA435" i="3"/>
  <c r="BB435" i="3"/>
  <c r="BC435" i="3"/>
  <c r="AP436" i="3"/>
  <c r="AQ436" i="3"/>
  <c r="AR436" i="3"/>
  <c r="AS436" i="3"/>
  <c r="AT436" i="3"/>
  <c r="AU436" i="3"/>
  <c r="AV436" i="3"/>
  <c r="AW436" i="3"/>
  <c r="AX436" i="3"/>
  <c r="AY436" i="3"/>
  <c r="AZ436" i="3"/>
  <c r="BA436" i="3"/>
  <c r="BB436" i="3"/>
  <c r="BC436" i="3"/>
  <c r="AP437" i="3"/>
  <c r="AQ437" i="3"/>
  <c r="AR437" i="3"/>
  <c r="AS437" i="3"/>
  <c r="AT437" i="3"/>
  <c r="AU437" i="3"/>
  <c r="AV437" i="3"/>
  <c r="AW437" i="3"/>
  <c r="AX437" i="3"/>
  <c r="AY437" i="3"/>
  <c r="AZ437" i="3"/>
  <c r="BA437" i="3"/>
  <c r="BB437" i="3"/>
  <c r="BC437" i="3"/>
  <c r="AP438" i="3"/>
  <c r="AQ438" i="3"/>
  <c r="AR438" i="3"/>
  <c r="AS438" i="3"/>
  <c r="AT438" i="3"/>
  <c r="AU438" i="3"/>
  <c r="AV438" i="3"/>
  <c r="AW438" i="3"/>
  <c r="AX438" i="3"/>
  <c r="AY438" i="3"/>
  <c r="AZ438" i="3"/>
  <c r="BA438" i="3"/>
  <c r="BB438" i="3"/>
  <c r="BC438" i="3"/>
  <c r="AP439" i="3"/>
  <c r="AQ439" i="3"/>
  <c r="AR439" i="3"/>
  <c r="AS439" i="3"/>
  <c r="AT439" i="3"/>
  <c r="AU439" i="3"/>
  <c r="AV439" i="3"/>
  <c r="AW439" i="3"/>
  <c r="AX439" i="3"/>
  <c r="AY439" i="3"/>
  <c r="AZ439" i="3"/>
  <c r="BA439" i="3"/>
  <c r="BB439" i="3"/>
  <c r="BC439" i="3"/>
  <c r="AP440" i="3"/>
  <c r="AQ440" i="3"/>
  <c r="AR440" i="3"/>
  <c r="AS440" i="3"/>
  <c r="AT440" i="3"/>
  <c r="AU440" i="3"/>
  <c r="AV440" i="3"/>
  <c r="AW440" i="3"/>
  <c r="AX440" i="3"/>
  <c r="AY440" i="3"/>
  <c r="AZ440" i="3"/>
  <c r="BA440" i="3"/>
  <c r="BB440" i="3"/>
  <c r="BC440" i="3"/>
  <c r="AP441" i="3"/>
  <c r="AQ441" i="3"/>
  <c r="AR441" i="3"/>
  <c r="AS441" i="3"/>
  <c r="AT441" i="3"/>
  <c r="AU441" i="3"/>
  <c r="AV441" i="3"/>
  <c r="AW441" i="3"/>
  <c r="AX441" i="3"/>
  <c r="AY441" i="3"/>
  <c r="AZ441" i="3"/>
  <c r="BA441" i="3"/>
  <c r="BB441" i="3"/>
  <c r="BC441" i="3"/>
  <c r="AO433" i="3"/>
  <c r="AO434" i="3"/>
  <c r="AO435" i="3"/>
  <c r="AO436" i="3"/>
  <c r="AO437" i="3"/>
  <c r="AO438" i="3"/>
  <c r="AO439" i="3"/>
  <c r="AO440" i="3"/>
  <c r="AO441" i="3"/>
  <c r="AO432" i="3"/>
  <c r="AP424" i="3"/>
  <c r="AQ424" i="3"/>
  <c r="AR424" i="3"/>
  <c r="AS424" i="3"/>
  <c r="AT424" i="3"/>
  <c r="AU424" i="3"/>
  <c r="AV424" i="3"/>
  <c r="AW424" i="3"/>
  <c r="AX424" i="3"/>
  <c r="AY424" i="3"/>
  <c r="AZ424" i="3"/>
  <c r="BA424" i="3"/>
  <c r="BB424" i="3"/>
  <c r="BC424" i="3"/>
  <c r="AP425" i="3"/>
  <c r="AQ425" i="3"/>
  <c r="AR425" i="3"/>
  <c r="AS425" i="3"/>
  <c r="AT425" i="3"/>
  <c r="AU425" i="3"/>
  <c r="AV425" i="3"/>
  <c r="AW425" i="3"/>
  <c r="AX425" i="3"/>
  <c r="AY425" i="3"/>
  <c r="AZ425" i="3"/>
  <c r="BA425" i="3"/>
  <c r="BB425" i="3"/>
  <c r="BC425" i="3"/>
  <c r="AP426" i="3"/>
  <c r="AQ426" i="3"/>
  <c r="AR426" i="3"/>
  <c r="AS426" i="3"/>
  <c r="AT426" i="3"/>
  <c r="AU426" i="3"/>
  <c r="AV426" i="3"/>
  <c r="AW426" i="3"/>
  <c r="AX426" i="3"/>
  <c r="AY426" i="3"/>
  <c r="AZ426" i="3"/>
  <c r="BA426" i="3"/>
  <c r="BB426" i="3"/>
  <c r="BC426" i="3"/>
  <c r="AP427" i="3"/>
  <c r="AQ427" i="3"/>
  <c r="AR427" i="3"/>
  <c r="AS427" i="3"/>
  <c r="AT427" i="3"/>
  <c r="AU427" i="3"/>
  <c r="AV427" i="3"/>
  <c r="AW427" i="3"/>
  <c r="AX427" i="3"/>
  <c r="AY427" i="3"/>
  <c r="AZ427" i="3"/>
  <c r="BA427" i="3"/>
  <c r="BB427" i="3"/>
  <c r="BC427" i="3"/>
  <c r="AP428" i="3"/>
  <c r="AQ428" i="3"/>
  <c r="AR428" i="3"/>
  <c r="AS428" i="3"/>
  <c r="AT428" i="3"/>
  <c r="AU428" i="3"/>
  <c r="AV428" i="3"/>
  <c r="AW428" i="3"/>
  <c r="AX428" i="3"/>
  <c r="AY428" i="3"/>
  <c r="AZ428" i="3"/>
  <c r="BA428" i="3"/>
  <c r="BB428" i="3"/>
  <c r="BC428" i="3"/>
  <c r="AP429" i="3"/>
  <c r="AQ429" i="3"/>
  <c r="AR429" i="3"/>
  <c r="AS429" i="3"/>
  <c r="AT429" i="3"/>
  <c r="AU429" i="3"/>
  <c r="AV429" i="3"/>
  <c r="AW429" i="3"/>
  <c r="AX429" i="3"/>
  <c r="AY429" i="3"/>
  <c r="AZ429" i="3"/>
  <c r="BA429" i="3"/>
  <c r="BB429" i="3"/>
  <c r="BC429" i="3"/>
  <c r="AP430" i="3"/>
  <c r="AQ430" i="3"/>
  <c r="AR430" i="3"/>
  <c r="AS430" i="3"/>
  <c r="AT430" i="3"/>
  <c r="AU430" i="3"/>
  <c r="AV430" i="3"/>
  <c r="AW430" i="3"/>
  <c r="AX430" i="3"/>
  <c r="AY430" i="3"/>
  <c r="AZ430" i="3"/>
  <c r="BA430" i="3"/>
  <c r="BB430" i="3"/>
  <c r="BC430" i="3"/>
  <c r="AO425" i="3"/>
  <c r="AO426" i="3"/>
  <c r="AO427" i="3"/>
  <c r="AO428" i="3"/>
  <c r="AO429" i="3"/>
  <c r="AO430" i="3"/>
  <c r="AO424" i="3"/>
  <c r="AP405" i="3"/>
  <c r="AQ405" i="3"/>
  <c r="AR405" i="3"/>
  <c r="AS405" i="3"/>
  <c r="AT405" i="3"/>
  <c r="AU405" i="3"/>
  <c r="AV405" i="3"/>
  <c r="AW405" i="3"/>
  <c r="AX405" i="3"/>
  <c r="AY405" i="3"/>
  <c r="AZ405" i="3"/>
  <c r="BA405" i="3"/>
  <c r="BB405" i="3"/>
  <c r="BC405" i="3"/>
  <c r="AP406" i="3"/>
  <c r="AQ406" i="3"/>
  <c r="AR406" i="3"/>
  <c r="AS406" i="3"/>
  <c r="AT406" i="3"/>
  <c r="AU406" i="3"/>
  <c r="AV406" i="3"/>
  <c r="AW406" i="3"/>
  <c r="AX406" i="3"/>
  <c r="AY406" i="3"/>
  <c r="AZ406" i="3"/>
  <c r="BA406" i="3"/>
  <c r="BB406" i="3"/>
  <c r="BC406" i="3"/>
  <c r="AP407" i="3"/>
  <c r="AQ407" i="3"/>
  <c r="AR407" i="3"/>
  <c r="AS407" i="3"/>
  <c r="AT407" i="3"/>
  <c r="AU407" i="3"/>
  <c r="AV407" i="3"/>
  <c r="AW407" i="3"/>
  <c r="AX407" i="3"/>
  <c r="AY407" i="3"/>
  <c r="AZ407" i="3"/>
  <c r="BA407" i="3"/>
  <c r="BB407" i="3"/>
  <c r="BC407" i="3"/>
  <c r="AP408" i="3"/>
  <c r="AQ408" i="3"/>
  <c r="AR408" i="3"/>
  <c r="AS408" i="3"/>
  <c r="AT408" i="3"/>
  <c r="AU408" i="3"/>
  <c r="AV408" i="3"/>
  <c r="AW408" i="3"/>
  <c r="AX408" i="3"/>
  <c r="AY408" i="3"/>
  <c r="AZ408" i="3"/>
  <c r="BA408" i="3"/>
  <c r="BB408" i="3"/>
  <c r="BC408" i="3"/>
  <c r="AP409" i="3"/>
  <c r="AQ409" i="3"/>
  <c r="AR409" i="3"/>
  <c r="AS409" i="3"/>
  <c r="AT409" i="3"/>
  <c r="AU409" i="3"/>
  <c r="AV409" i="3"/>
  <c r="AW409" i="3"/>
  <c r="AX409" i="3"/>
  <c r="AY409" i="3"/>
  <c r="AZ409" i="3"/>
  <c r="BA409" i="3"/>
  <c r="BB409" i="3"/>
  <c r="BC409" i="3"/>
  <c r="AP410" i="3"/>
  <c r="AQ410" i="3"/>
  <c r="AR410" i="3"/>
  <c r="AS410" i="3"/>
  <c r="AT410" i="3"/>
  <c r="AU410" i="3"/>
  <c r="AV410" i="3"/>
  <c r="AW410" i="3"/>
  <c r="AX410" i="3"/>
  <c r="AY410" i="3"/>
  <c r="AZ410" i="3"/>
  <c r="BA410" i="3"/>
  <c r="BB410" i="3"/>
  <c r="BC410" i="3"/>
  <c r="AP411" i="3"/>
  <c r="AQ411" i="3"/>
  <c r="AR411" i="3"/>
  <c r="AS411" i="3"/>
  <c r="AT411" i="3"/>
  <c r="AU411" i="3"/>
  <c r="AV411" i="3"/>
  <c r="AW411" i="3"/>
  <c r="AX411" i="3"/>
  <c r="AY411" i="3"/>
  <c r="AZ411" i="3"/>
  <c r="BA411" i="3"/>
  <c r="BB411" i="3"/>
  <c r="BC411" i="3"/>
  <c r="AP412" i="3"/>
  <c r="AQ412" i="3"/>
  <c r="AR412" i="3"/>
  <c r="AS412" i="3"/>
  <c r="AT412" i="3"/>
  <c r="AU412" i="3"/>
  <c r="AV412" i="3"/>
  <c r="AW412" i="3"/>
  <c r="AX412" i="3"/>
  <c r="AY412" i="3"/>
  <c r="AZ412" i="3"/>
  <c r="BA412" i="3"/>
  <c r="BB412" i="3"/>
  <c r="BC412" i="3"/>
  <c r="AP413" i="3"/>
  <c r="AQ413" i="3"/>
  <c r="AR413" i="3"/>
  <c r="AS413" i="3"/>
  <c r="AT413" i="3"/>
  <c r="AU413" i="3"/>
  <c r="AV413" i="3"/>
  <c r="AW413" i="3"/>
  <c r="AX413" i="3"/>
  <c r="AY413" i="3"/>
  <c r="AZ413" i="3"/>
  <c r="BA413" i="3"/>
  <c r="BB413" i="3"/>
  <c r="BC413" i="3"/>
  <c r="AP414" i="3"/>
  <c r="AQ414" i="3"/>
  <c r="AR414" i="3"/>
  <c r="AS414" i="3"/>
  <c r="AT414" i="3"/>
  <c r="AU414" i="3"/>
  <c r="AV414" i="3"/>
  <c r="AW414" i="3"/>
  <c r="AX414" i="3"/>
  <c r="AY414" i="3"/>
  <c r="AZ414" i="3"/>
  <c r="BA414" i="3"/>
  <c r="BB414" i="3"/>
  <c r="BC414" i="3"/>
  <c r="AO406" i="3"/>
  <c r="AO407" i="3"/>
  <c r="AO408" i="3"/>
  <c r="AO409" i="3"/>
  <c r="AO410" i="3"/>
  <c r="AO411" i="3"/>
  <c r="AO412" i="3"/>
  <c r="AO413" i="3"/>
  <c r="AO414" i="3"/>
  <c r="AO405" i="3"/>
  <c r="AP394" i="3"/>
  <c r="AQ394" i="3"/>
  <c r="AR394" i="3"/>
  <c r="AS394" i="3"/>
  <c r="AT394" i="3"/>
  <c r="AU394" i="3"/>
  <c r="AV394" i="3"/>
  <c r="AW394" i="3"/>
  <c r="AX394" i="3"/>
  <c r="AY394" i="3"/>
  <c r="AZ394" i="3"/>
  <c r="BA394" i="3"/>
  <c r="BB394" i="3"/>
  <c r="BC394" i="3"/>
  <c r="AP395" i="3"/>
  <c r="AQ395" i="3"/>
  <c r="AR395" i="3"/>
  <c r="AS395" i="3"/>
  <c r="AT395" i="3"/>
  <c r="AU395" i="3"/>
  <c r="AV395" i="3"/>
  <c r="AW395" i="3"/>
  <c r="AX395" i="3"/>
  <c r="AY395" i="3"/>
  <c r="AZ395" i="3"/>
  <c r="BA395" i="3"/>
  <c r="BB395" i="3"/>
  <c r="BC395" i="3"/>
  <c r="AP396" i="3"/>
  <c r="AQ396" i="3"/>
  <c r="AR396" i="3"/>
  <c r="AS396" i="3"/>
  <c r="AT396" i="3"/>
  <c r="AU396" i="3"/>
  <c r="AV396" i="3"/>
  <c r="AW396" i="3"/>
  <c r="AX396" i="3"/>
  <c r="AY396" i="3"/>
  <c r="AZ396" i="3"/>
  <c r="BA396" i="3"/>
  <c r="BB396" i="3"/>
  <c r="BC396" i="3"/>
  <c r="AP397" i="3"/>
  <c r="AQ397" i="3"/>
  <c r="AR397" i="3"/>
  <c r="AS397" i="3"/>
  <c r="AT397" i="3"/>
  <c r="AU397" i="3"/>
  <c r="AV397" i="3"/>
  <c r="AW397" i="3"/>
  <c r="AX397" i="3"/>
  <c r="AY397" i="3"/>
  <c r="AZ397" i="3"/>
  <c r="BA397" i="3"/>
  <c r="BB397" i="3"/>
  <c r="BC397" i="3"/>
  <c r="AP398" i="3"/>
  <c r="AQ398" i="3"/>
  <c r="AR398" i="3"/>
  <c r="AS398" i="3"/>
  <c r="AT398" i="3"/>
  <c r="AU398" i="3"/>
  <c r="AV398" i="3"/>
  <c r="AW398" i="3"/>
  <c r="AX398" i="3"/>
  <c r="AY398" i="3"/>
  <c r="AZ398" i="3"/>
  <c r="BA398" i="3"/>
  <c r="BB398" i="3"/>
  <c r="BC398" i="3"/>
  <c r="AP399" i="3"/>
  <c r="AQ399" i="3"/>
  <c r="AR399" i="3"/>
  <c r="AS399" i="3"/>
  <c r="AT399" i="3"/>
  <c r="AU399" i="3"/>
  <c r="AV399" i="3"/>
  <c r="AW399" i="3"/>
  <c r="AX399" i="3"/>
  <c r="AY399" i="3"/>
  <c r="AZ399" i="3"/>
  <c r="BA399" i="3"/>
  <c r="BB399" i="3"/>
  <c r="BC399" i="3"/>
  <c r="AP400" i="3"/>
  <c r="AQ400" i="3"/>
  <c r="AR400" i="3"/>
  <c r="AS400" i="3"/>
  <c r="AT400" i="3"/>
  <c r="AU400" i="3"/>
  <c r="AV400" i="3"/>
  <c r="AW400" i="3"/>
  <c r="AX400" i="3"/>
  <c r="AY400" i="3"/>
  <c r="AZ400" i="3"/>
  <c r="BA400" i="3"/>
  <c r="BB400" i="3"/>
  <c r="BC400" i="3"/>
  <c r="AP401" i="3"/>
  <c r="AQ401" i="3"/>
  <c r="AR401" i="3"/>
  <c r="AS401" i="3"/>
  <c r="AT401" i="3"/>
  <c r="AU401" i="3"/>
  <c r="AV401" i="3"/>
  <c r="AW401" i="3"/>
  <c r="AX401" i="3"/>
  <c r="AY401" i="3"/>
  <c r="AZ401" i="3"/>
  <c r="BA401" i="3"/>
  <c r="BB401" i="3"/>
  <c r="BC401" i="3"/>
  <c r="AP402" i="3"/>
  <c r="AQ402" i="3"/>
  <c r="AR402" i="3"/>
  <c r="AS402" i="3"/>
  <c r="AT402" i="3"/>
  <c r="AU402" i="3"/>
  <c r="AV402" i="3"/>
  <c r="AW402" i="3"/>
  <c r="AX402" i="3"/>
  <c r="AY402" i="3"/>
  <c r="AZ402" i="3"/>
  <c r="BA402" i="3"/>
  <c r="BB402" i="3"/>
  <c r="BC402" i="3"/>
  <c r="AP403" i="3"/>
  <c r="AQ403" i="3"/>
  <c r="AR403" i="3"/>
  <c r="AS403" i="3"/>
  <c r="AT403" i="3"/>
  <c r="AU403" i="3"/>
  <c r="AV403" i="3"/>
  <c r="AW403" i="3"/>
  <c r="AX403" i="3"/>
  <c r="AY403" i="3"/>
  <c r="AZ403" i="3"/>
  <c r="BA403" i="3"/>
  <c r="BB403" i="3"/>
  <c r="BC403" i="3"/>
  <c r="AO395" i="3"/>
  <c r="AO396" i="3"/>
  <c r="AO397" i="3"/>
  <c r="AO398" i="3"/>
  <c r="AO399" i="3"/>
  <c r="AO400" i="3"/>
  <c r="AO401" i="3"/>
  <c r="AO402" i="3"/>
  <c r="AO403" i="3"/>
  <c r="AO394" i="3"/>
  <c r="AP386" i="3"/>
  <c r="AQ386" i="3"/>
  <c r="AR386" i="3"/>
  <c r="AS386" i="3"/>
  <c r="AT386" i="3"/>
  <c r="AU386" i="3"/>
  <c r="AV386" i="3"/>
  <c r="AW386" i="3"/>
  <c r="AX386" i="3"/>
  <c r="AY386" i="3"/>
  <c r="AZ386" i="3"/>
  <c r="BA386" i="3"/>
  <c r="BB386" i="3"/>
  <c r="BC386" i="3"/>
  <c r="AP387" i="3"/>
  <c r="AQ387" i="3"/>
  <c r="AR387" i="3"/>
  <c r="AS387" i="3"/>
  <c r="AT387" i="3"/>
  <c r="AU387" i="3"/>
  <c r="AV387" i="3"/>
  <c r="AW387" i="3"/>
  <c r="AX387" i="3"/>
  <c r="AY387" i="3"/>
  <c r="AZ387" i="3"/>
  <c r="BA387" i="3"/>
  <c r="BB387" i="3"/>
  <c r="BC387" i="3"/>
  <c r="AP388" i="3"/>
  <c r="AQ388" i="3"/>
  <c r="AR388" i="3"/>
  <c r="AS388" i="3"/>
  <c r="AT388" i="3"/>
  <c r="AU388" i="3"/>
  <c r="AV388" i="3"/>
  <c r="AW388" i="3"/>
  <c r="AX388" i="3"/>
  <c r="AY388" i="3"/>
  <c r="AZ388" i="3"/>
  <c r="BA388" i="3"/>
  <c r="BB388" i="3"/>
  <c r="BC388" i="3"/>
  <c r="AP389" i="3"/>
  <c r="AQ389" i="3"/>
  <c r="AR389" i="3"/>
  <c r="AS389" i="3"/>
  <c r="AT389" i="3"/>
  <c r="AU389" i="3"/>
  <c r="AV389" i="3"/>
  <c r="AW389" i="3"/>
  <c r="AX389" i="3"/>
  <c r="AY389" i="3"/>
  <c r="AZ389" i="3"/>
  <c r="BA389" i="3"/>
  <c r="BB389" i="3"/>
  <c r="BC389" i="3"/>
  <c r="AP390" i="3"/>
  <c r="AQ390" i="3"/>
  <c r="AR390" i="3"/>
  <c r="AS390" i="3"/>
  <c r="AT390" i="3"/>
  <c r="AU390" i="3"/>
  <c r="AV390" i="3"/>
  <c r="AW390" i="3"/>
  <c r="AX390" i="3"/>
  <c r="AY390" i="3"/>
  <c r="AZ390" i="3"/>
  <c r="BA390" i="3"/>
  <c r="BB390" i="3"/>
  <c r="BC390" i="3"/>
  <c r="AP391" i="3"/>
  <c r="AQ391" i="3"/>
  <c r="AR391" i="3"/>
  <c r="AS391" i="3"/>
  <c r="AT391" i="3"/>
  <c r="AU391" i="3"/>
  <c r="AV391" i="3"/>
  <c r="AW391" i="3"/>
  <c r="AX391" i="3"/>
  <c r="AY391" i="3"/>
  <c r="AZ391" i="3"/>
  <c r="BA391" i="3"/>
  <c r="BB391" i="3"/>
  <c r="BC391" i="3"/>
  <c r="AP392" i="3"/>
  <c r="AQ392" i="3"/>
  <c r="AR392" i="3"/>
  <c r="AS392" i="3"/>
  <c r="AT392" i="3"/>
  <c r="AU392" i="3"/>
  <c r="AV392" i="3"/>
  <c r="AW392" i="3"/>
  <c r="AX392" i="3"/>
  <c r="AY392" i="3"/>
  <c r="AZ392" i="3"/>
  <c r="BA392" i="3"/>
  <c r="BB392" i="3"/>
  <c r="BC392" i="3"/>
  <c r="AO387" i="3"/>
  <c r="AO388" i="3"/>
  <c r="AO389" i="3"/>
  <c r="AO390" i="3"/>
  <c r="AO391" i="3"/>
  <c r="AO392" i="3"/>
  <c r="AO386" i="3"/>
  <c r="AP375" i="3"/>
  <c r="AQ375" i="3"/>
  <c r="AR375" i="3"/>
  <c r="AS375" i="3"/>
  <c r="AT375" i="3"/>
  <c r="AU375" i="3"/>
  <c r="AV375" i="3"/>
  <c r="AW375" i="3"/>
  <c r="AX375" i="3"/>
  <c r="AY375" i="3"/>
  <c r="AZ375" i="3"/>
  <c r="BA375" i="3"/>
  <c r="BB375" i="3"/>
  <c r="BC375" i="3"/>
  <c r="AP376" i="3"/>
  <c r="AQ376" i="3"/>
  <c r="AR376" i="3"/>
  <c r="AS376" i="3"/>
  <c r="AT376" i="3"/>
  <c r="AU376" i="3"/>
  <c r="AV376" i="3"/>
  <c r="AW376" i="3"/>
  <c r="AX376" i="3"/>
  <c r="AY376" i="3"/>
  <c r="AZ376" i="3"/>
  <c r="BA376" i="3"/>
  <c r="BB376" i="3"/>
  <c r="BC376" i="3"/>
  <c r="AP377" i="3"/>
  <c r="AQ377" i="3"/>
  <c r="AR377" i="3"/>
  <c r="AS377" i="3"/>
  <c r="AT377" i="3"/>
  <c r="AU377" i="3"/>
  <c r="AV377" i="3"/>
  <c r="AW377" i="3"/>
  <c r="AX377" i="3"/>
  <c r="AY377" i="3"/>
  <c r="AZ377" i="3"/>
  <c r="BA377" i="3"/>
  <c r="BB377" i="3"/>
  <c r="BC377" i="3"/>
  <c r="AP378" i="3"/>
  <c r="AQ378" i="3"/>
  <c r="AR378" i="3"/>
  <c r="AS378" i="3"/>
  <c r="AT378" i="3"/>
  <c r="AU378" i="3"/>
  <c r="AV378" i="3"/>
  <c r="AW378" i="3"/>
  <c r="AX378" i="3"/>
  <c r="AY378" i="3"/>
  <c r="AZ378" i="3"/>
  <c r="BA378" i="3"/>
  <c r="BB378" i="3"/>
  <c r="BC378" i="3"/>
  <c r="AP379" i="3"/>
  <c r="AQ379" i="3"/>
  <c r="AR379" i="3"/>
  <c r="AS379" i="3"/>
  <c r="AT379" i="3"/>
  <c r="AU379" i="3"/>
  <c r="AV379" i="3"/>
  <c r="AW379" i="3"/>
  <c r="AX379" i="3"/>
  <c r="AY379" i="3"/>
  <c r="AZ379" i="3"/>
  <c r="BA379" i="3"/>
  <c r="BB379" i="3"/>
  <c r="BC379" i="3"/>
  <c r="AP380" i="3"/>
  <c r="AQ380" i="3"/>
  <c r="AR380" i="3"/>
  <c r="AS380" i="3"/>
  <c r="AT380" i="3"/>
  <c r="AU380" i="3"/>
  <c r="AV380" i="3"/>
  <c r="AW380" i="3"/>
  <c r="AX380" i="3"/>
  <c r="AY380" i="3"/>
  <c r="AZ380" i="3"/>
  <c r="BA380" i="3"/>
  <c r="BB380" i="3"/>
  <c r="BC380" i="3"/>
  <c r="AP381" i="3"/>
  <c r="AQ381" i="3"/>
  <c r="AR381" i="3"/>
  <c r="AS381" i="3"/>
  <c r="AT381" i="3"/>
  <c r="AU381" i="3"/>
  <c r="AV381" i="3"/>
  <c r="AW381" i="3"/>
  <c r="AX381" i="3"/>
  <c r="AY381" i="3"/>
  <c r="AZ381" i="3"/>
  <c r="BA381" i="3"/>
  <c r="BB381" i="3"/>
  <c r="BC381" i="3"/>
  <c r="AP382" i="3"/>
  <c r="AQ382" i="3"/>
  <c r="AR382" i="3"/>
  <c r="AS382" i="3"/>
  <c r="AT382" i="3"/>
  <c r="AU382" i="3"/>
  <c r="AV382" i="3"/>
  <c r="AW382" i="3"/>
  <c r="AX382" i="3"/>
  <c r="AY382" i="3"/>
  <c r="AZ382" i="3"/>
  <c r="BA382" i="3"/>
  <c r="BB382" i="3"/>
  <c r="BC382" i="3"/>
  <c r="AP383" i="3"/>
  <c r="AQ383" i="3"/>
  <c r="AR383" i="3"/>
  <c r="AS383" i="3"/>
  <c r="AT383" i="3"/>
  <c r="AU383" i="3"/>
  <c r="AV383" i="3"/>
  <c r="AW383" i="3"/>
  <c r="AX383" i="3"/>
  <c r="AY383" i="3"/>
  <c r="AZ383" i="3"/>
  <c r="BA383" i="3"/>
  <c r="BB383" i="3"/>
  <c r="BC383" i="3"/>
  <c r="AP384" i="3"/>
  <c r="AQ384" i="3"/>
  <c r="AR384" i="3"/>
  <c r="AS384" i="3"/>
  <c r="AT384" i="3"/>
  <c r="AU384" i="3"/>
  <c r="AV384" i="3"/>
  <c r="AW384" i="3"/>
  <c r="AX384" i="3"/>
  <c r="AY384" i="3"/>
  <c r="AZ384" i="3"/>
  <c r="BA384" i="3"/>
  <c r="BB384" i="3"/>
  <c r="BC384" i="3"/>
  <c r="AO376" i="3"/>
  <c r="AO377" i="3"/>
  <c r="AO378" i="3"/>
  <c r="AO379" i="3"/>
  <c r="AO380" i="3"/>
  <c r="AO381" i="3"/>
  <c r="AO382" i="3"/>
  <c r="AO383" i="3"/>
  <c r="AO384" i="3"/>
  <c r="AO375" i="3"/>
  <c r="AP367" i="3"/>
  <c r="AQ367" i="3"/>
  <c r="AR367" i="3"/>
  <c r="AS367" i="3"/>
  <c r="AT367" i="3"/>
  <c r="AU367" i="3"/>
  <c r="AV367" i="3"/>
  <c r="AW367" i="3"/>
  <c r="AX367" i="3"/>
  <c r="AY367" i="3"/>
  <c r="AZ367" i="3"/>
  <c r="BA367" i="3"/>
  <c r="BB367" i="3"/>
  <c r="BC367" i="3"/>
  <c r="AP368" i="3"/>
  <c r="AQ368" i="3"/>
  <c r="AR368" i="3"/>
  <c r="AS368" i="3"/>
  <c r="AT368" i="3"/>
  <c r="AU368" i="3"/>
  <c r="AV368" i="3"/>
  <c r="AW368" i="3"/>
  <c r="AX368" i="3"/>
  <c r="AY368" i="3"/>
  <c r="AZ368" i="3"/>
  <c r="BA368" i="3"/>
  <c r="BB368" i="3"/>
  <c r="BC368" i="3"/>
  <c r="AP369" i="3"/>
  <c r="AQ369" i="3"/>
  <c r="AR369" i="3"/>
  <c r="AS369" i="3"/>
  <c r="AT369" i="3"/>
  <c r="AU369" i="3"/>
  <c r="AV369" i="3"/>
  <c r="AW369" i="3"/>
  <c r="AX369" i="3"/>
  <c r="AY369" i="3"/>
  <c r="AZ369" i="3"/>
  <c r="BA369" i="3"/>
  <c r="BB369" i="3"/>
  <c r="BC369" i="3"/>
  <c r="AP370" i="3"/>
  <c r="AQ370" i="3"/>
  <c r="AR370" i="3"/>
  <c r="AS370" i="3"/>
  <c r="AT370" i="3"/>
  <c r="AU370" i="3"/>
  <c r="AV370" i="3"/>
  <c r="AW370" i="3"/>
  <c r="AX370" i="3"/>
  <c r="AY370" i="3"/>
  <c r="AZ370" i="3"/>
  <c r="BA370" i="3"/>
  <c r="BB370" i="3"/>
  <c r="BC370" i="3"/>
  <c r="AP371" i="3"/>
  <c r="AQ371" i="3"/>
  <c r="AR371" i="3"/>
  <c r="AS371" i="3"/>
  <c r="AT371" i="3"/>
  <c r="AU371" i="3"/>
  <c r="AV371" i="3"/>
  <c r="AW371" i="3"/>
  <c r="AX371" i="3"/>
  <c r="AY371" i="3"/>
  <c r="AZ371" i="3"/>
  <c r="BA371" i="3"/>
  <c r="BB371" i="3"/>
  <c r="BC371" i="3"/>
  <c r="AP372" i="3"/>
  <c r="AQ372" i="3"/>
  <c r="AR372" i="3"/>
  <c r="AS372" i="3"/>
  <c r="AT372" i="3"/>
  <c r="AU372" i="3"/>
  <c r="AV372" i="3"/>
  <c r="AW372" i="3"/>
  <c r="AX372" i="3"/>
  <c r="AY372" i="3"/>
  <c r="AZ372" i="3"/>
  <c r="BA372" i="3"/>
  <c r="BB372" i="3"/>
  <c r="BC372" i="3"/>
  <c r="AP373" i="3"/>
  <c r="AQ373" i="3"/>
  <c r="AR373" i="3"/>
  <c r="AS373" i="3"/>
  <c r="AT373" i="3"/>
  <c r="AU373" i="3"/>
  <c r="AV373" i="3"/>
  <c r="AW373" i="3"/>
  <c r="AX373" i="3"/>
  <c r="AY373" i="3"/>
  <c r="AZ373" i="3"/>
  <c r="BA373" i="3"/>
  <c r="BB373" i="3"/>
  <c r="BC373" i="3"/>
  <c r="AO368" i="3"/>
  <c r="AO369" i="3"/>
  <c r="AO370" i="3"/>
  <c r="AO371" i="3"/>
  <c r="AO372" i="3"/>
  <c r="AO373" i="3"/>
  <c r="AO367" i="3"/>
  <c r="AP348" i="3"/>
  <c r="AQ348" i="3"/>
  <c r="AR348" i="3"/>
  <c r="AS348" i="3"/>
  <c r="AT348" i="3"/>
  <c r="AU348" i="3"/>
  <c r="AV348" i="3"/>
  <c r="AW348" i="3"/>
  <c r="AX348" i="3"/>
  <c r="AY348" i="3"/>
  <c r="AZ348" i="3"/>
  <c r="BA348" i="3"/>
  <c r="BB348" i="3"/>
  <c r="BC348" i="3"/>
  <c r="AP349" i="3"/>
  <c r="AQ349" i="3"/>
  <c r="AR349" i="3"/>
  <c r="AS349" i="3"/>
  <c r="AT349" i="3"/>
  <c r="AU349" i="3"/>
  <c r="AV349" i="3"/>
  <c r="AW349" i="3"/>
  <c r="AX349" i="3"/>
  <c r="AY349" i="3"/>
  <c r="AZ349" i="3"/>
  <c r="BA349" i="3"/>
  <c r="BB349" i="3"/>
  <c r="BC349" i="3"/>
  <c r="AP350" i="3"/>
  <c r="AQ350" i="3"/>
  <c r="AR350" i="3"/>
  <c r="AS350" i="3"/>
  <c r="AT350" i="3"/>
  <c r="AU350" i="3"/>
  <c r="AV350" i="3"/>
  <c r="AW350" i="3"/>
  <c r="AX350" i="3"/>
  <c r="AY350" i="3"/>
  <c r="AZ350" i="3"/>
  <c r="BA350" i="3"/>
  <c r="BB350" i="3"/>
  <c r="BC350" i="3"/>
  <c r="AP351" i="3"/>
  <c r="AQ351" i="3"/>
  <c r="AR351" i="3"/>
  <c r="AS351" i="3"/>
  <c r="AT351" i="3"/>
  <c r="AU351" i="3"/>
  <c r="AV351" i="3"/>
  <c r="AW351" i="3"/>
  <c r="AX351" i="3"/>
  <c r="AY351" i="3"/>
  <c r="AZ351" i="3"/>
  <c r="BA351" i="3"/>
  <c r="BB351" i="3"/>
  <c r="BC351" i="3"/>
  <c r="AP352" i="3"/>
  <c r="AQ352" i="3"/>
  <c r="AR352" i="3"/>
  <c r="AS352" i="3"/>
  <c r="AT352" i="3"/>
  <c r="AU352" i="3"/>
  <c r="AV352" i="3"/>
  <c r="AW352" i="3"/>
  <c r="AX352" i="3"/>
  <c r="AY352" i="3"/>
  <c r="AZ352" i="3"/>
  <c r="BA352" i="3"/>
  <c r="BB352" i="3"/>
  <c r="BC352" i="3"/>
  <c r="AP353" i="3"/>
  <c r="AQ353" i="3"/>
  <c r="AR353" i="3"/>
  <c r="AS353" i="3"/>
  <c r="AT353" i="3"/>
  <c r="AU353" i="3"/>
  <c r="AV353" i="3"/>
  <c r="AW353" i="3"/>
  <c r="AX353" i="3"/>
  <c r="AY353" i="3"/>
  <c r="AZ353" i="3"/>
  <c r="BA353" i="3"/>
  <c r="BB353" i="3"/>
  <c r="BC353" i="3"/>
  <c r="AP354" i="3"/>
  <c r="AQ354" i="3"/>
  <c r="AR354" i="3"/>
  <c r="AS354" i="3"/>
  <c r="AT354" i="3"/>
  <c r="AU354" i="3"/>
  <c r="AV354" i="3"/>
  <c r="AW354" i="3"/>
  <c r="AX354" i="3"/>
  <c r="AY354" i="3"/>
  <c r="AZ354" i="3"/>
  <c r="BA354" i="3"/>
  <c r="BB354" i="3"/>
  <c r="BC354" i="3"/>
  <c r="AP355" i="3"/>
  <c r="AQ355" i="3"/>
  <c r="AR355" i="3"/>
  <c r="AS355" i="3"/>
  <c r="AT355" i="3"/>
  <c r="AU355" i="3"/>
  <c r="AV355" i="3"/>
  <c r="AW355" i="3"/>
  <c r="AX355" i="3"/>
  <c r="AY355" i="3"/>
  <c r="AZ355" i="3"/>
  <c r="BA355" i="3"/>
  <c r="BB355" i="3"/>
  <c r="BC355" i="3"/>
  <c r="AP356" i="3"/>
  <c r="AQ356" i="3"/>
  <c r="AR356" i="3"/>
  <c r="AS356" i="3"/>
  <c r="AT356" i="3"/>
  <c r="AU356" i="3"/>
  <c r="AV356" i="3"/>
  <c r="AW356" i="3"/>
  <c r="AX356" i="3"/>
  <c r="AY356" i="3"/>
  <c r="AZ356" i="3"/>
  <c r="BA356" i="3"/>
  <c r="BB356" i="3"/>
  <c r="BC356" i="3"/>
  <c r="AP357" i="3"/>
  <c r="AQ357" i="3"/>
  <c r="AR357" i="3"/>
  <c r="AS357" i="3"/>
  <c r="AT357" i="3"/>
  <c r="AU357" i="3"/>
  <c r="AV357" i="3"/>
  <c r="AW357" i="3"/>
  <c r="AX357" i="3"/>
  <c r="AY357" i="3"/>
  <c r="AZ357" i="3"/>
  <c r="BA357" i="3"/>
  <c r="BB357" i="3"/>
  <c r="BC357" i="3"/>
  <c r="AO349" i="3"/>
  <c r="AO350" i="3"/>
  <c r="AO351" i="3"/>
  <c r="AO352" i="3"/>
  <c r="AO353" i="3"/>
  <c r="AO354" i="3"/>
  <c r="AO355" i="3"/>
  <c r="AO356" i="3"/>
  <c r="AO357" i="3"/>
  <c r="AO348" i="3"/>
  <c r="AP337" i="3"/>
  <c r="AQ337" i="3"/>
  <c r="AR337" i="3"/>
  <c r="AS337" i="3"/>
  <c r="AT337" i="3"/>
  <c r="AU337" i="3"/>
  <c r="AV337" i="3"/>
  <c r="AW337" i="3"/>
  <c r="AX337" i="3"/>
  <c r="AY337" i="3"/>
  <c r="AZ337" i="3"/>
  <c r="BA337" i="3"/>
  <c r="BB337" i="3"/>
  <c r="BC337" i="3"/>
  <c r="AP338" i="3"/>
  <c r="AQ338" i="3"/>
  <c r="AR338" i="3"/>
  <c r="AS338" i="3"/>
  <c r="AT338" i="3"/>
  <c r="AU338" i="3"/>
  <c r="AV338" i="3"/>
  <c r="AW338" i="3"/>
  <c r="AX338" i="3"/>
  <c r="AY338" i="3"/>
  <c r="AZ338" i="3"/>
  <c r="BA338" i="3"/>
  <c r="BB338" i="3"/>
  <c r="BC338" i="3"/>
  <c r="AP339" i="3"/>
  <c r="AQ339" i="3"/>
  <c r="AR339" i="3"/>
  <c r="AS339" i="3"/>
  <c r="AT339" i="3"/>
  <c r="AU339" i="3"/>
  <c r="AV339" i="3"/>
  <c r="AW339" i="3"/>
  <c r="AX339" i="3"/>
  <c r="AY339" i="3"/>
  <c r="AZ339" i="3"/>
  <c r="BA339" i="3"/>
  <c r="BB339" i="3"/>
  <c r="BC339" i="3"/>
  <c r="AP340" i="3"/>
  <c r="AQ340" i="3"/>
  <c r="AR340" i="3"/>
  <c r="AS340" i="3"/>
  <c r="AT340" i="3"/>
  <c r="AU340" i="3"/>
  <c r="AV340" i="3"/>
  <c r="AW340" i="3"/>
  <c r="AX340" i="3"/>
  <c r="AY340" i="3"/>
  <c r="AZ340" i="3"/>
  <c r="BA340" i="3"/>
  <c r="BB340" i="3"/>
  <c r="BC340" i="3"/>
  <c r="AP341" i="3"/>
  <c r="AQ341" i="3"/>
  <c r="AR341" i="3"/>
  <c r="AS341" i="3"/>
  <c r="AT341" i="3"/>
  <c r="AU341" i="3"/>
  <c r="AV341" i="3"/>
  <c r="AW341" i="3"/>
  <c r="AX341" i="3"/>
  <c r="AY341" i="3"/>
  <c r="AZ341" i="3"/>
  <c r="BA341" i="3"/>
  <c r="BB341" i="3"/>
  <c r="BC341" i="3"/>
  <c r="AP342" i="3"/>
  <c r="AQ342" i="3"/>
  <c r="AR342" i="3"/>
  <c r="AS342" i="3"/>
  <c r="AT342" i="3"/>
  <c r="AU342" i="3"/>
  <c r="AV342" i="3"/>
  <c r="AW342" i="3"/>
  <c r="AX342" i="3"/>
  <c r="AY342" i="3"/>
  <c r="AZ342" i="3"/>
  <c r="BA342" i="3"/>
  <c r="BB342" i="3"/>
  <c r="BC342" i="3"/>
  <c r="AP343" i="3"/>
  <c r="AQ343" i="3"/>
  <c r="AR343" i="3"/>
  <c r="AS343" i="3"/>
  <c r="AT343" i="3"/>
  <c r="AU343" i="3"/>
  <c r="AV343" i="3"/>
  <c r="AW343" i="3"/>
  <c r="AX343" i="3"/>
  <c r="AY343" i="3"/>
  <c r="AZ343" i="3"/>
  <c r="BA343" i="3"/>
  <c r="BB343" i="3"/>
  <c r="BC343" i="3"/>
  <c r="AP344" i="3"/>
  <c r="AQ344" i="3"/>
  <c r="AR344" i="3"/>
  <c r="AS344" i="3"/>
  <c r="AT344" i="3"/>
  <c r="AU344" i="3"/>
  <c r="AV344" i="3"/>
  <c r="AW344" i="3"/>
  <c r="AX344" i="3"/>
  <c r="AY344" i="3"/>
  <c r="AZ344" i="3"/>
  <c r="BA344" i="3"/>
  <c r="BB344" i="3"/>
  <c r="BC344" i="3"/>
  <c r="AP345" i="3"/>
  <c r="AQ345" i="3"/>
  <c r="AR345" i="3"/>
  <c r="AS345" i="3"/>
  <c r="AT345" i="3"/>
  <c r="AU345" i="3"/>
  <c r="AV345" i="3"/>
  <c r="AW345" i="3"/>
  <c r="AX345" i="3"/>
  <c r="AY345" i="3"/>
  <c r="AZ345" i="3"/>
  <c r="BA345" i="3"/>
  <c r="BB345" i="3"/>
  <c r="BC345" i="3"/>
  <c r="AP346" i="3"/>
  <c r="AQ346" i="3"/>
  <c r="AR346" i="3"/>
  <c r="AS346" i="3"/>
  <c r="AT346" i="3"/>
  <c r="AU346" i="3"/>
  <c r="AV346" i="3"/>
  <c r="AW346" i="3"/>
  <c r="AX346" i="3"/>
  <c r="AY346" i="3"/>
  <c r="AZ346" i="3"/>
  <c r="BA346" i="3"/>
  <c r="BB346" i="3"/>
  <c r="BC346" i="3"/>
  <c r="AO338" i="3"/>
  <c r="AO339" i="3"/>
  <c r="AO340" i="3"/>
  <c r="AO341" i="3"/>
  <c r="AO342" i="3"/>
  <c r="AO343" i="3"/>
  <c r="AO344" i="3"/>
  <c r="AO345" i="3"/>
  <c r="AO346" i="3"/>
  <c r="AO337" i="3"/>
  <c r="AP329" i="3"/>
  <c r="AQ329" i="3"/>
  <c r="AR329" i="3"/>
  <c r="AS329" i="3"/>
  <c r="AT329" i="3"/>
  <c r="AU329" i="3"/>
  <c r="AV329" i="3"/>
  <c r="AW329" i="3"/>
  <c r="AX329" i="3"/>
  <c r="AY329" i="3"/>
  <c r="AZ329" i="3"/>
  <c r="BA329" i="3"/>
  <c r="BB329" i="3"/>
  <c r="BC329" i="3"/>
  <c r="AP330" i="3"/>
  <c r="AQ330" i="3"/>
  <c r="AR330" i="3"/>
  <c r="AS330" i="3"/>
  <c r="AT330" i="3"/>
  <c r="AU330" i="3"/>
  <c r="AV330" i="3"/>
  <c r="AW330" i="3"/>
  <c r="AX330" i="3"/>
  <c r="AY330" i="3"/>
  <c r="AZ330" i="3"/>
  <c r="BA330" i="3"/>
  <c r="BB330" i="3"/>
  <c r="BC330" i="3"/>
  <c r="AP331" i="3"/>
  <c r="AQ331" i="3"/>
  <c r="AR331" i="3"/>
  <c r="AS331" i="3"/>
  <c r="AT331" i="3"/>
  <c r="AU331" i="3"/>
  <c r="AV331" i="3"/>
  <c r="AW331" i="3"/>
  <c r="AX331" i="3"/>
  <c r="AY331" i="3"/>
  <c r="AZ331" i="3"/>
  <c r="BA331" i="3"/>
  <c r="BB331" i="3"/>
  <c r="BC331" i="3"/>
  <c r="AP332" i="3"/>
  <c r="AQ332" i="3"/>
  <c r="AR332" i="3"/>
  <c r="AS332" i="3"/>
  <c r="AT332" i="3"/>
  <c r="AU332" i="3"/>
  <c r="AV332" i="3"/>
  <c r="AW332" i="3"/>
  <c r="AX332" i="3"/>
  <c r="AY332" i="3"/>
  <c r="AZ332" i="3"/>
  <c r="BA332" i="3"/>
  <c r="BB332" i="3"/>
  <c r="BC332" i="3"/>
  <c r="AP333" i="3"/>
  <c r="AQ333" i="3"/>
  <c r="AR333" i="3"/>
  <c r="AS333" i="3"/>
  <c r="AT333" i="3"/>
  <c r="AU333" i="3"/>
  <c r="AV333" i="3"/>
  <c r="AW333" i="3"/>
  <c r="AX333" i="3"/>
  <c r="AY333" i="3"/>
  <c r="AZ333" i="3"/>
  <c r="BA333" i="3"/>
  <c r="BB333" i="3"/>
  <c r="BC333" i="3"/>
  <c r="AP334" i="3"/>
  <c r="AQ334" i="3"/>
  <c r="AR334" i="3"/>
  <c r="AS334" i="3"/>
  <c r="AT334" i="3"/>
  <c r="AU334" i="3"/>
  <c r="AV334" i="3"/>
  <c r="AW334" i="3"/>
  <c r="AX334" i="3"/>
  <c r="AY334" i="3"/>
  <c r="AZ334" i="3"/>
  <c r="BA334" i="3"/>
  <c r="BB334" i="3"/>
  <c r="BC334" i="3"/>
  <c r="AP335" i="3"/>
  <c r="AQ335" i="3"/>
  <c r="AR335" i="3"/>
  <c r="AS335" i="3"/>
  <c r="AT335" i="3"/>
  <c r="AU335" i="3"/>
  <c r="AV335" i="3"/>
  <c r="AW335" i="3"/>
  <c r="AX335" i="3"/>
  <c r="AY335" i="3"/>
  <c r="AZ335" i="3"/>
  <c r="BA335" i="3"/>
  <c r="BB335" i="3"/>
  <c r="BC335" i="3"/>
  <c r="AO330" i="3"/>
  <c r="AO331" i="3"/>
  <c r="AO332" i="3"/>
  <c r="AO333" i="3"/>
  <c r="AO334" i="3"/>
  <c r="AO335" i="3"/>
  <c r="AO329" i="3"/>
  <c r="AP318" i="3"/>
  <c r="AQ318" i="3"/>
  <c r="AR318" i="3"/>
  <c r="AS318" i="3"/>
  <c r="AT318" i="3"/>
  <c r="AU318" i="3"/>
  <c r="AV318" i="3"/>
  <c r="AW318" i="3"/>
  <c r="AX318" i="3"/>
  <c r="AY318" i="3"/>
  <c r="AZ318" i="3"/>
  <c r="BA318" i="3"/>
  <c r="BB318" i="3"/>
  <c r="BC318" i="3"/>
  <c r="AP319" i="3"/>
  <c r="AQ319" i="3"/>
  <c r="AR319" i="3"/>
  <c r="AS319" i="3"/>
  <c r="AT319" i="3"/>
  <c r="AU319" i="3"/>
  <c r="AV319" i="3"/>
  <c r="AW319" i="3"/>
  <c r="AX319" i="3"/>
  <c r="AY319" i="3"/>
  <c r="AZ319" i="3"/>
  <c r="BA319" i="3"/>
  <c r="BB319" i="3"/>
  <c r="BC319" i="3"/>
  <c r="AP320" i="3"/>
  <c r="AQ320" i="3"/>
  <c r="AR320" i="3"/>
  <c r="AS320" i="3"/>
  <c r="AT320" i="3"/>
  <c r="AU320" i="3"/>
  <c r="AV320" i="3"/>
  <c r="AW320" i="3"/>
  <c r="AX320" i="3"/>
  <c r="AY320" i="3"/>
  <c r="AZ320" i="3"/>
  <c r="BA320" i="3"/>
  <c r="BB320" i="3"/>
  <c r="BC320" i="3"/>
  <c r="AP321" i="3"/>
  <c r="AQ321" i="3"/>
  <c r="AR321" i="3"/>
  <c r="AS321" i="3"/>
  <c r="AT321" i="3"/>
  <c r="AU321" i="3"/>
  <c r="AV321" i="3"/>
  <c r="AW321" i="3"/>
  <c r="AX321" i="3"/>
  <c r="AY321" i="3"/>
  <c r="AZ321" i="3"/>
  <c r="BA321" i="3"/>
  <c r="BB321" i="3"/>
  <c r="BC321" i="3"/>
  <c r="AP322" i="3"/>
  <c r="AQ322" i="3"/>
  <c r="AR322" i="3"/>
  <c r="AS322" i="3"/>
  <c r="AT322" i="3"/>
  <c r="AU322" i="3"/>
  <c r="AV322" i="3"/>
  <c r="AW322" i="3"/>
  <c r="AX322" i="3"/>
  <c r="AY322" i="3"/>
  <c r="AZ322" i="3"/>
  <c r="BA322" i="3"/>
  <c r="BB322" i="3"/>
  <c r="BC322" i="3"/>
  <c r="AP323" i="3"/>
  <c r="AQ323" i="3"/>
  <c r="AR323" i="3"/>
  <c r="AS323" i="3"/>
  <c r="AT323" i="3"/>
  <c r="AU323" i="3"/>
  <c r="AV323" i="3"/>
  <c r="AW323" i="3"/>
  <c r="AX323" i="3"/>
  <c r="AY323" i="3"/>
  <c r="AZ323" i="3"/>
  <c r="BA323" i="3"/>
  <c r="BB323" i="3"/>
  <c r="BC323" i="3"/>
  <c r="AP324" i="3"/>
  <c r="AQ324" i="3"/>
  <c r="AR324" i="3"/>
  <c r="AS324" i="3"/>
  <c r="AT324" i="3"/>
  <c r="AU324" i="3"/>
  <c r="AV324" i="3"/>
  <c r="AW324" i="3"/>
  <c r="AX324" i="3"/>
  <c r="AY324" i="3"/>
  <c r="AZ324" i="3"/>
  <c r="BA324" i="3"/>
  <c r="BB324" i="3"/>
  <c r="BC324" i="3"/>
  <c r="AP325" i="3"/>
  <c r="AQ325" i="3"/>
  <c r="AR325" i="3"/>
  <c r="AS325" i="3"/>
  <c r="AT325" i="3"/>
  <c r="AU325" i="3"/>
  <c r="AV325" i="3"/>
  <c r="AW325" i="3"/>
  <c r="AX325" i="3"/>
  <c r="AY325" i="3"/>
  <c r="AZ325" i="3"/>
  <c r="BA325" i="3"/>
  <c r="BB325" i="3"/>
  <c r="BC325" i="3"/>
  <c r="AP326" i="3"/>
  <c r="AQ326" i="3"/>
  <c r="AR326" i="3"/>
  <c r="AS326" i="3"/>
  <c r="AT326" i="3"/>
  <c r="AU326" i="3"/>
  <c r="AV326" i="3"/>
  <c r="AW326" i="3"/>
  <c r="AX326" i="3"/>
  <c r="AY326" i="3"/>
  <c r="AZ326" i="3"/>
  <c r="BA326" i="3"/>
  <c r="BB326" i="3"/>
  <c r="BC326" i="3"/>
  <c r="AP327" i="3"/>
  <c r="AQ327" i="3"/>
  <c r="AR327" i="3"/>
  <c r="AS327" i="3"/>
  <c r="AT327" i="3"/>
  <c r="AU327" i="3"/>
  <c r="AV327" i="3"/>
  <c r="AW327" i="3"/>
  <c r="AX327" i="3"/>
  <c r="AY327" i="3"/>
  <c r="AZ327" i="3"/>
  <c r="BA327" i="3"/>
  <c r="BB327" i="3"/>
  <c r="BC327" i="3"/>
  <c r="AO319" i="3"/>
  <c r="AO320" i="3"/>
  <c r="AO321" i="3"/>
  <c r="AO322" i="3"/>
  <c r="AO323" i="3"/>
  <c r="AO324" i="3"/>
  <c r="AO325" i="3"/>
  <c r="AO326" i="3"/>
  <c r="AO327" i="3"/>
  <c r="AO318" i="3"/>
  <c r="AP310" i="3"/>
  <c r="AQ310" i="3"/>
  <c r="AR310" i="3"/>
  <c r="AS310" i="3"/>
  <c r="AT310" i="3"/>
  <c r="AU310" i="3"/>
  <c r="AV310" i="3"/>
  <c r="AW310" i="3"/>
  <c r="AX310" i="3"/>
  <c r="AY310" i="3"/>
  <c r="AZ310" i="3"/>
  <c r="BA310" i="3"/>
  <c r="BB310" i="3"/>
  <c r="BC310" i="3"/>
  <c r="AP311" i="3"/>
  <c r="AQ311" i="3"/>
  <c r="AR311" i="3"/>
  <c r="AS311" i="3"/>
  <c r="AT311" i="3"/>
  <c r="AU311" i="3"/>
  <c r="AV311" i="3"/>
  <c r="AW311" i="3"/>
  <c r="AX311" i="3"/>
  <c r="AY311" i="3"/>
  <c r="AZ311" i="3"/>
  <c r="BA311" i="3"/>
  <c r="BB311" i="3"/>
  <c r="BC311" i="3"/>
  <c r="AP312" i="3"/>
  <c r="AQ312" i="3"/>
  <c r="AR312" i="3"/>
  <c r="AS312" i="3"/>
  <c r="AT312" i="3"/>
  <c r="AU312" i="3"/>
  <c r="AV312" i="3"/>
  <c r="AW312" i="3"/>
  <c r="AX312" i="3"/>
  <c r="AY312" i="3"/>
  <c r="AZ312" i="3"/>
  <c r="BA312" i="3"/>
  <c r="BB312" i="3"/>
  <c r="BC312" i="3"/>
  <c r="AP313" i="3"/>
  <c r="AQ313" i="3"/>
  <c r="AR313" i="3"/>
  <c r="AS313" i="3"/>
  <c r="AT313" i="3"/>
  <c r="AU313" i="3"/>
  <c r="AV313" i="3"/>
  <c r="AW313" i="3"/>
  <c r="AX313" i="3"/>
  <c r="AY313" i="3"/>
  <c r="AZ313" i="3"/>
  <c r="BA313" i="3"/>
  <c r="BB313" i="3"/>
  <c r="BC313" i="3"/>
  <c r="AP314" i="3"/>
  <c r="AQ314" i="3"/>
  <c r="AR314" i="3"/>
  <c r="AS314" i="3"/>
  <c r="AT314" i="3"/>
  <c r="AU314" i="3"/>
  <c r="AV314" i="3"/>
  <c r="AW314" i="3"/>
  <c r="AX314" i="3"/>
  <c r="AY314" i="3"/>
  <c r="AZ314" i="3"/>
  <c r="BA314" i="3"/>
  <c r="BB314" i="3"/>
  <c r="BC314" i="3"/>
  <c r="AP315" i="3"/>
  <c r="AQ315" i="3"/>
  <c r="AR315" i="3"/>
  <c r="AS315" i="3"/>
  <c r="AT315" i="3"/>
  <c r="AU315" i="3"/>
  <c r="AV315" i="3"/>
  <c r="AW315" i="3"/>
  <c r="AX315" i="3"/>
  <c r="AY315" i="3"/>
  <c r="AZ315" i="3"/>
  <c r="BA315" i="3"/>
  <c r="BB315" i="3"/>
  <c r="BC315" i="3"/>
  <c r="AP316" i="3"/>
  <c r="AQ316" i="3"/>
  <c r="AR316" i="3"/>
  <c r="AS316" i="3"/>
  <c r="AT316" i="3"/>
  <c r="AU316" i="3"/>
  <c r="AV316" i="3"/>
  <c r="AW316" i="3"/>
  <c r="AX316" i="3"/>
  <c r="AY316" i="3"/>
  <c r="AZ316" i="3"/>
  <c r="BA316" i="3"/>
  <c r="BB316" i="3"/>
  <c r="BC316" i="3"/>
  <c r="AO311" i="3"/>
  <c r="AO312" i="3"/>
  <c r="AO313" i="3"/>
  <c r="AO314" i="3"/>
  <c r="AO315" i="3"/>
  <c r="AO316" i="3"/>
  <c r="AO310" i="3"/>
  <c r="AP291" i="3"/>
  <c r="AQ291" i="3"/>
  <c r="AR291" i="3"/>
  <c r="AS291" i="3"/>
  <c r="AT291" i="3"/>
  <c r="AU291" i="3"/>
  <c r="AV291" i="3"/>
  <c r="AW291" i="3"/>
  <c r="AX291" i="3"/>
  <c r="AY291" i="3"/>
  <c r="AZ291" i="3"/>
  <c r="BA291" i="3"/>
  <c r="BB291" i="3"/>
  <c r="BC291" i="3"/>
  <c r="AP292" i="3"/>
  <c r="AQ292" i="3"/>
  <c r="AR292" i="3"/>
  <c r="AS292" i="3"/>
  <c r="AT292" i="3"/>
  <c r="AU292" i="3"/>
  <c r="AV292" i="3"/>
  <c r="AW292" i="3"/>
  <c r="AX292" i="3"/>
  <c r="AY292" i="3"/>
  <c r="AZ292" i="3"/>
  <c r="BA292" i="3"/>
  <c r="BB292" i="3"/>
  <c r="BC292" i="3"/>
  <c r="AP293" i="3"/>
  <c r="AQ293" i="3"/>
  <c r="AR293" i="3"/>
  <c r="AS293" i="3"/>
  <c r="AT293" i="3"/>
  <c r="AU293" i="3"/>
  <c r="AV293" i="3"/>
  <c r="AW293" i="3"/>
  <c r="AX293" i="3"/>
  <c r="AY293" i="3"/>
  <c r="AZ293" i="3"/>
  <c r="BA293" i="3"/>
  <c r="BB293" i="3"/>
  <c r="BC293" i="3"/>
  <c r="AP294" i="3"/>
  <c r="AQ294" i="3"/>
  <c r="AR294" i="3"/>
  <c r="AS294" i="3"/>
  <c r="AT294" i="3"/>
  <c r="AU294" i="3"/>
  <c r="AV294" i="3"/>
  <c r="AW294" i="3"/>
  <c r="AX294" i="3"/>
  <c r="AY294" i="3"/>
  <c r="AZ294" i="3"/>
  <c r="BA294" i="3"/>
  <c r="BB294" i="3"/>
  <c r="BC294" i="3"/>
  <c r="AP295" i="3"/>
  <c r="AQ295" i="3"/>
  <c r="AR295" i="3"/>
  <c r="AS295" i="3"/>
  <c r="AT295" i="3"/>
  <c r="AU295" i="3"/>
  <c r="AV295" i="3"/>
  <c r="AW295" i="3"/>
  <c r="AX295" i="3"/>
  <c r="AY295" i="3"/>
  <c r="AZ295" i="3"/>
  <c r="BA295" i="3"/>
  <c r="BB295" i="3"/>
  <c r="BC295" i="3"/>
  <c r="AP296" i="3"/>
  <c r="AQ296" i="3"/>
  <c r="AR296" i="3"/>
  <c r="AS296" i="3"/>
  <c r="AT296" i="3"/>
  <c r="AU296" i="3"/>
  <c r="AV296" i="3"/>
  <c r="AW296" i="3"/>
  <c r="AX296" i="3"/>
  <c r="AY296" i="3"/>
  <c r="AZ296" i="3"/>
  <c r="BA296" i="3"/>
  <c r="BB296" i="3"/>
  <c r="BC296" i="3"/>
  <c r="AP297" i="3"/>
  <c r="AQ297" i="3"/>
  <c r="AR297" i="3"/>
  <c r="AS297" i="3"/>
  <c r="AT297" i="3"/>
  <c r="AU297" i="3"/>
  <c r="AV297" i="3"/>
  <c r="AW297" i="3"/>
  <c r="AX297" i="3"/>
  <c r="AY297" i="3"/>
  <c r="AZ297" i="3"/>
  <c r="BA297" i="3"/>
  <c r="BB297" i="3"/>
  <c r="BC297" i="3"/>
  <c r="AP298" i="3"/>
  <c r="AQ298" i="3"/>
  <c r="AR298" i="3"/>
  <c r="AS298" i="3"/>
  <c r="AT298" i="3"/>
  <c r="AU298" i="3"/>
  <c r="AV298" i="3"/>
  <c r="AW298" i="3"/>
  <c r="AX298" i="3"/>
  <c r="AY298" i="3"/>
  <c r="AZ298" i="3"/>
  <c r="BA298" i="3"/>
  <c r="BB298" i="3"/>
  <c r="BC298" i="3"/>
  <c r="AP299" i="3"/>
  <c r="AQ299" i="3"/>
  <c r="AR299" i="3"/>
  <c r="AS299" i="3"/>
  <c r="AT299" i="3"/>
  <c r="AU299" i="3"/>
  <c r="AV299" i="3"/>
  <c r="AW299" i="3"/>
  <c r="AX299" i="3"/>
  <c r="AY299" i="3"/>
  <c r="AZ299" i="3"/>
  <c r="BA299" i="3"/>
  <c r="BB299" i="3"/>
  <c r="BC299" i="3"/>
  <c r="AP300" i="3"/>
  <c r="AQ300" i="3"/>
  <c r="AR300" i="3"/>
  <c r="AS300" i="3"/>
  <c r="AT300" i="3"/>
  <c r="AU300" i="3"/>
  <c r="AV300" i="3"/>
  <c r="AW300" i="3"/>
  <c r="AX300" i="3"/>
  <c r="AY300" i="3"/>
  <c r="AZ300" i="3"/>
  <c r="BA300" i="3"/>
  <c r="BB300" i="3"/>
  <c r="BC300" i="3"/>
  <c r="AO292" i="3"/>
  <c r="AO293" i="3"/>
  <c r="AO294" i="3"/>
  <c r="AO295" i="3"/>
  <c r="AO296" i="3"/>
  <c r="AO297" i="3"/>
  <c r="AO298" i="3"/>
  <c r="AO299" i="3"/>
  <c r="AO300" i="3"/>
  <c r="AO291" i="3"/>
  <c r="AP280" i="3"/>
  <c r="AQ280" i="3"/>
  <c r="AR280" i="3"/>
  <c r="AS280" i="3"/>
  <c r="AT280" i="3"/>
  <c r="AU280" i="3"/>
  <c r="AV280" i="3"/>
  <c r="AW280" i="3"/>
  <c r="AX280" i="3"/>
  <c r="AY280" i="3"/>
  <c r="AZ280" i="3"/>
  <c r="BA280" i="3"/>
  <c r="BB280" i="3"/>
  <c r="BC280" i="3"/>
  <c r="AP281" i="3"/>
  <c r="AQ281" i="3"/>
  <c r="AR281" i="3"/>
  <c r="AS281" i="3"/>
  <c r="AT281" i="3"/>
  <c r="AU281" i="3"/>
  <c r="AV281" i="3"/>
  <c r="AW281" i="3"/>
  <c r="AX281" i="3"/>
  <c r="AY281" i="3"/>
  <c r="AZ281" i="3"/>
  <c r="BA281" i="3"/>
  <c r="BB281" i="3"/>
  <c r="BC281" i="3"/>
  <c r="AP282" i="3"/>
  <c r="AQ282" i="3"/>
  <c r="AR282" i="3"/>
  <c r="AS282" i="3"/>
  <c r="AT282" i="3"/>
  <c r="AU282" i="3"/>
  <c r="AV282" i="3"/>
  <c r="AW282" i="3"/>
  <c r="AX282" i="3"/>
  <c r="AY282" i="3"/>
  <c r="AZ282" i="3"/>
  <c r="BA282" i="3"/>
  <c r="BB282" i="3"/>
  <c r="BC282" i="3"/>
  <c r="AP283" i="3"/>
  <c r="AQ283" i="3"/>
  <c r="AR283" i="3"/>
  <c r="AS283" i="3"/>
  <c r="AT283" i="3"/>
  <c r="AU283" i="3"/>
  <c r="AV283" i="3"/>
  <c r="AW283" i="3"/>
  <c r="AX283" i="3"/>
  <c r="AY283" i="3"/>
  <c r="AZ283" i="3"/>
  <c r="BA283" i="3"/>
  <c r="BB283" i="3"/>
  <c r="BC283" i="3"/>
  <c r="AP284" i="3"/>
  <c r="AQ284" i="3"/>
  <c r="AR284" i="3"/>
  <c r="AS284" i="3"/>
  <c r="AT284" i="3"/>
  <c r="AU284" i="3"/>
  <c r="AV284" i="3"/>
  <c r="AW284" i="3"/>
  <c r="AX284" i="3"/>
  <c r="AY284" i="3"/>
  <c r="AZ284" i="3"/>
  <c r="BA284" i="3"/>
  <c r="BB284" i="3"/>
  <c r="BC284" i="3"/>
  <c r="AP285" i="3"/>
  <c r="AQ285" i="3"/>
  <c r="AR285" i="3"/>
  <c r="AS285" i="3"/>
  <c r="AT285" i="3"/>
  <c r="AU285" i="3"/>
  <c r="AV285" i="3"/>
  <c r="AW285" i="3"/>
  <c r="AX285" i="3"/>
  <c r="AY285" i="3"/>
  <c r="AZ285" i="3"/>
  <c r="BA285" i="3"/>
  <c r="BB285" i="3"/>
  <c r="BC285" i="3"/>
  <c r="AP286" i="3"/>
  <c r="AQ286" i="3"/>
  <c r="AR286" i="3"/>
  <c r="AS286" i="3"/>
  <c r="AT286" i="3"/>
  <c r="AU286" i="3"/>
  <c r="AV286" i="3"/>
  <c r="AW286" i="3"/>
  <c r="AX286" i="3"/>
  <c r="AY286" i="3"/>
  <c r="AZ286" i="3"/>
  <c r="BA286" i="3"/>
  <c r="BB286" i="3"/>
  <c r="BC286" i="3"/>
  <c r="AP287" i="3"/>
  <c r="AQ287" i="3"/>
  <c r="AR287" i="3"/>
  <c r="AS287" i="3"/>
  <c r="AT287" i="3"/>
  <c r="AU287" i="3"/>
  <c r="AV287" i="3"/>
  <c r="AW287" i="3"/>
  <c r="AX287" i="3"/>
  <c r="AY287" i="3"/>
  <c r="AZ287" i="3"/>
  <c r="BA287" i="3"/>
  <c r="BB287" i="3"/>
  <c r="BC287" i="3"/>
  <c r="AP288" i="3"/>
  <c r="AQ288" i="3"/>
  <c r="AR288" i="3"/>
  <c r="AS288" i="3"/>
  <c r="AT288" i="3"/>
  <c r="AU288" i="3"/>
  <c r="AV288" i="3"/>
  <c r="AW288" i="3"/>
  <c r="AX288" i="3"/>
  <c r="AY288" i="3"/>
  <c r="AZ288" i="3"/>
  <c r="BA288" i="3"/>
  <c r="BB288" i="3"/>
  <c r="BC288" i="3"/>
  <c r="AP289" i="3"/>
  <c r="AQ289" i="3"/>
  <c r="AR289" i="3"/>
  <c r="AS289" i="3"/>
  <c r="AT289" i="3"/>
  <c r="AU289" i="3"/>
  <c r="AV289" i="3"/>
  <c r="AW289" i="3"/>
  <c r="AX289" i="3"/>
  <c r="AY289" i="3"/>
  <c r="AZ289" i="3"/>
  <c r="BA289" i="3"/>
  <c r="BB289" i="3"/>
  <c r="BC289" i="3"/>
  <c r="AO281" i="3"/>
  <c r="AO282" i="3"/>
  <c r="AO283" i="3"/>
  <c r="AO284" i="3"/>
  <c r="AO285" i="3"/>
  <c r="AO286" i="3"/>
  <c r="AO287" i="3"/>
  <c r="AO288" i="3"/>
  <c r="AO289" i="3"/>
  <c r="AO280" i="3"/>
  <c r="AP272" i="3"/>
  <c r="AQ272" i="3"/>
  <c r="AR272" i="3"/>
  <c r="AS272" i="3"/>
  <c r="AT272" i="3"/>
  <c r="AU272" i="3"/>
  <c r="AV272" i="3"/>
  <c r="AW272" i="3"/>
  <c r="AX272" i="3"/>
  <c r="AY272" i="3"/>
  <c r="AZ272" i="3"/>
  <c r="BA272" i="3"/>
  <c r="BB272" i="3"/>
  <c r="BC272" i="3"/>
  <c r="AP273" i="3"/>
  <c r="AQ273" i="3"/>
  <c r="AR273" i="3"/>
  <c r="AS273" i="3"/>
  <c r="AT273" i="3"/>
  <c r="AU273" i="3"/>
  <c r="AV273" i="3"/>
  <c r="AW273" i="3"/>
  <c r="AX273" i="3"/>
  <c r="AY273" i="3"/>
  <c r="AZ273" i="3"/>
  <c r="BA273" i="3"/>
  <c r="BB273" i="3"/>
  <c r="BC273" i="3"/>
  <c r="AP274" i="3"/>
  <c r="AQ274" i="3"/>
  <c r="AR274" i="3"/>
  <c r="AS274" i="3"/>
  <c r="AT274" i="3"/>
  <c r="AU274" i="3"/>
  <c r="AV274" i="3"/>
  <c r="AW274" i="3"/>
  <c r="AX274" i="3"/>
  <c r="AY274" i="3"/>
  <c r="AZ274" i="3"/>
  <c r="BA274" i="3"/>
  <c r="BB274" i="3"/>
  <c r="BC274" i="3"/>
  <c r="AP275" i="3"/>
  <c r="AQ275" i="3"/>
  <c r="AR275" i="3"/>
  <c r="AS275" i="3"/>
  <c r="AT275" i="3"/>
  <c r="AU275" i="3"/>
  <c r="AV275" i="3"/>
  <c r="AW275" i="3"/>
  <c r="AX275" i="3"/>
  <c r="AY275" i="3"/>
  <c r="AZ275" i="3"/>
  <c r="BA275" i="3"/>
  <c r="BB275" i="3"/>
  <c r="BC275" i="3"/>
  <c r="AP276" i="3"/>
  <c r="AQ276" i="3"/>
  <c r="AR276" i="3"/>
  <c r="AS276" i="3"/>
  <c r="AT276" i="3"/>
  <c r="AU276" i="3"/>
  <c r="AV276" i="3"/>
  <c r="AW276" i="3"/>
  <c r="AX276" i="3"/>
  <c r="AY276" i="3"/>
  <c r="AZ276" i="3"/>
  <c r="BA276" i="3"/>
  <c r="BB276" i="3"/>
  <c r="BC276" i="3"/>
  <c r="AP277" i="3"/>
  <c r="AQ277" i="3"/>
  <c r="AR277" i="3"/>
  <c r="AS277" i="3"/>
  <c r="AT277" i="3"/>
  <c r="AU277" i="3"/>
  <c r="AV277" i="3"/>
  <c r="AW277" i="3"/>
  <c r="AX277" i="3"/>
  <c r="AY277" i="3"/>
  <c r="AZ277" i="3"/>
  <c r="BA277" i="3"/>
  <c r="BB277" i="3"/>
  <c r="BC277" i="3"/>
  <c r="AP278" i="3"/>
  <c r="AQ278" i="3"/>
  <c r="AR278" i="3"/>
  <c r="AS278" i="3"/>
  <c r="AT278" i="3"/>
  <c r="AU278" i="3"/>
  <c r="AV278" i="3"/>
  <c r="AW278" i="3"/>
  <c r="AX278" i="3"/>
  <c r="AY278" i="3"/>
  <c r="AZ278" i="3"/>
  <c r="BA278" i="3"/>
  <c r="BB278" i="3"/>
  <c r="BC278" i="3"/>
  <c r="AO273" i="3"/>
  <c r="AO274" i="3"/>
  <c r="AO275" i="3"/>
  <c r="AO276" i="3"/>
  <c r="AO277" i="3"/>
  <c r="AO278" i="3"/>
  <c r="AO272" i="3"/>
  <c r="AP261" i="3"/>
  <c r="AQ261" i="3"/>
  <c r="AR261" i="3"/>
  <c r="AS261" i="3"/>
  <c r="AT261" i="3"/>
  <c r="AU261" i="3"/>
  <c r="AV261" i="3"/>
  <c r="AW261" i="3"/>
  <c r="AX261" i="3"/>
  <c r="AY261" i="3"/>
  <c r="AZ261" i="3"/>
  <c r="BA261" i="3"/>
  <c r="BB261" i="3"/>
  <c r="BC261" i="3"/>
  <c r="AP262" i="3"/>
  <c r="AQ262" i="3"/>
  <c r="AR262" i="3"/>
  <c r="AS262" i="3"/>
  <c r="AT262" i="3"/>
  <c r="AU262" i="3"/>
  <c r="AV262" i="3"/>
  <c r="AW262" i="3"/>
  <c r="AX262" i="3"/>
  <c r="AY262" i="3"/>
  <c r="AZ262" i="3"/>
  <c r="BA262" i="3"/>
  <c r="BB262" i="3"/>
  <c r="BC262" i="3"/>
  <c r="AP263" i="3"/>
  <c r="AQ263" i="3"/>
  <c r="AR263" i="3"/>
  <c r="AS263" i="3"/>
  <c r="AT263" i="3"/>
  <c r="AU263" i="3"/>
  <c r="AV263" i="3"/>
  <c r="AW263" i="3"/>
  <c r="AX263" i="3"/>
  <c r="AY263" i="3"/>
  <c r="AZ263" i="3"/>
  <c r="BA263" i="3"/>
  <c r="BB263" i="3"/>
  <c r="BC263" i="3"/>
  <c r="AP264" i="3"/>
  <c r="AQ264" i="3"/>
  <c r="AR264" i="3"/>
  <c r="AS264" i="3"/>
  <c r="AT264" i="3"/>
  <c r="AU264" i="3"/>
  <c r="AV264" i="3"/>
  <c r="AW264" i="3"/>
  <c r="AX264" i="3"/>
  <c r="AY264" i="3"/>
  <c r="AZ264" i="3"/>
  <c r="BA264" i="3"/>
  <c r="BB264" i="3"/>
  <c r="BC264" i="3"/>
  <c r="AP265" i="3"/>
  <c r="AQ265" i="3"/>
  <c r="AR265" i="3"/>
  <c r="AS265" i="3"/>
  <c r="AT265" i="3"/>
  <c r="AU265" i="3"/>
  <c r="AV265" i="3"/>
  <c r="AW265" i="3"/>
  <c r="AX265" i="3"/>
  <c r="AY265" i="3"/>
  <c r="AZ265" i="3"/>
  <c r="BA265" i="3"/>
  <c r="BB265" i="3"/>
  <c r="BC265" i="3"/>
  <c r="AP266" i="3"/>
  <c r="AQ266" i="3"/>
  <c r="AR266" i="3"/>
  <c r="AS266" i="3"/>
  <c r="AT266" i="3"/>
  <c r="AU266" i="3"/>
  <c r="AV266" i="3"/>
  <c r="AW266" i="3"/>
  <c r="AX266" i="3"/>
  <c r="AY266" i="3"/>
  <c r="AZ266" i="3"/>
  <c r="BA266" i="3"/>
  <c r="BB266" i="3"/>
  <c r="BC266" i="3"/>
  <c r="AP267" i="3"/>
  <c r="AQ267" i="3"/>
  <c r="AR267" i="3"/>
  <c r="AS267" i="3"/>
  <c r="AT267" i="3"/>
  <c r="AU267" i="3"/>
  <c r="AV267" i="3"/>
  <c r="AW267" i="3"/>
  <c r="AX267" i="3"/>
  <c r="AY267" i="3"/>
  <c r="AZ267" i="3"/>
  <c r="BA267" i="3"/>
  <c r="BB267" i="3"/>
  <c r="BC267" i="3"/>
  <c r="AP268" i="3"/>
  <c r="AQ268" i="3"/>
  <c r="AR268" i="3"/>
  <c r="AS268" i="3"/>
  <c r="AT268" i="3"/>
  <c r="AU268" i="3"/>
  <c r="AV268" i="3"/>
  <c r="AW268" i="3"/>
  <c r="AX268" i="3"/>
  <c r="AY268" i="3"/>
  <c r="AZ268" i="3"/>
  <c r="BA268" i="3"/>
  <c r="BB268" i="3"/>
  <c r="BC268" i="3"/>
  <c r="AP269" i="3"/>
  <c r="AQ269" i="3"/>
  <c r="AR269" i="3"/>
  <c r="AS269" i="3"/>
  <c r="AT269" i="3"/>
  <c r="AU269" i="3"/>
  <c r="AV269" i="3"/>
  <c r="AW269" i="3"/>
  <c r="AX269" i="3"/>
  <c r="AY269" i="3"/>
  <c r="AZ269" i="3"/>
  <c r="BA269" i="3"/>
  <c r="BB269" i="3"/>
  <c r="BC269" i="3"/>
  <c r="AP270" i="3"/>
  <c r="AQ270" i="3"/>
  <c r="AR270" i="3"/>
  <c r="AS270" i="3"/>
  <c r="AT270" i="3"/>
  <c r="AU270" i="3"/>
  <c r="AV270" i="3"/>
  <c r="AW270" i="3"/>
  <c r="AX270" i="3"/>
  <c r="AY270" i="3"/>
  <c r="AZ270" i="3"/>
  <c r="BA270" i="3"/>
  <c r="BB270" i="3"/>
  <c r="BC270" i="3"/>
  <c r="AO262" i="3"/>
  <c r="AO263" i="3"/>
  <c r="AO264" i="3"/>
  <c r="AO265" i="3"/>
  <c r="AO266" i="3"/>
  <c r="AO267" i="3"/>
  <c r="AO268" i="3"/>
  <c r="AO269" i="3"/>
  <c r="AO270" i="3"/>
  <c r="AO261" i="3"/>
  <c r="AP253" i="3"/>
  <c r="AQ253" i="3"/>
  <c r="AR253" i="3"/>
  <c r="AS253" i="3"/>
  <c r="AT253" i="3"/>
  <c r="AU253" i="3"/>
  <c r="AV253" i="3"/>
  <c r="AW253" i="3"/>
  <c r="AX253" i="3"/>
  <c r="AY253" i="3"/>
  <c r="AZ253" i="3"/>
  <c r="BA253" i="3"/>
  <c r="BB253" i="3"/>
  <c r="BC253" i="3"/>
  <c r="AP254" i="3"/>
  <c r="AQ254" i="3"/>
  <c r="AR254" i="3"/>
  <c r="AS254" i="3"/>
  <c r="AT254" i="3"/>
  <c r="AU254" i="3"/>
  <c r="AV254" i="3"/>
  <c r="AW254" i="3"/>
  <c r="AX254" i="3"/>
  <c r="AY254" i="3"/>
  <c r="AZ254" i="3"/>
  <c r="BA254" i="3"/>
  <c r="BB254" i="3"/>
  <c r="BC254" i="3"/>
  <c r="AP255" i="3"/>
  <c r="AQ255" i="3"/>
  <c r="AR255" i="3"/>
  <c r="AS255" i="3"/>
  <c r="AT255" i="3"/>
  <c r="AU255" i="3"/>
  <c r="AV255" i="3"/>
  <c r="AW255" i="3"/>
  <c r="AX255" i="3"/>
  <c r="AY255" i="3"/>
  <c r="AZ255" i="3"/>
  <c r="BA255" i="3"/>
  <c r="BB255" i="3"/>
  <c r="BC255" i="3"/>
  <c r="AP256" i="3"/>
  <c r="AQ256" i="3"/>
  <c r="AR256" i="3"/>
  <c r="AS256" i="3"/>
  <c r="AT256" i="3"/>
  <c r="AU256" i="3"/>
  <c r="AV256" i="3"/>
  <c r="AW256" i="3"/>
  <c r="AX256" i="3"/>
  <c r="AY256" i="3"/>
  <c r="AZ256" i="3"/>
  <c r="BA256" i="3"/>
  <c r="BB256" i="3"/>
  <c r="BC256" i="3"/>
  <c r="AP257" i="3"/>
  <c r="AQ257" i="3"/>
  <c r="AR257" i="3"/>
  <c r="AS257" i="3"/>
  <c r="AT257" i="3"/>
  <c r="AU257" i="3"/>
  <c r="AV257" i="3"/>
  <c r="AW257" i="3"/>
  <c r="AX257" i="3"/>
  <c r="AY257" i="3"/>
  <c r="AZ257" i="3"/>
  <c r="BA257" i="3"/>
  <c r="BB257" i="3"/>
  <c r="BC257" i="3"/>
  <c r="AP258" i="3"/>
  <c r="AQ258" i="3"/>
  <c r="AR258" i="3"/>
  <c r="AS258" i="3"/>
  <c r="AT258" i="3"/>
  <c r="AU258" i="3"/>
  <c r="AV258" i="3"/>
  <c r="AW258" i="3"/>
  <c r="AX258" i="3"/>
  <c r="AY258" i="3"/>
  <c r="AZ258" i="3"/>
  <c r="BA258" i="3"/>
  <c r="BB258" i="3"/>
  <c r="BC258" i="3"/>
  <c r="AP259" i="3"/>
  <c r="AQ259" i="3"/>
  <c r="AR259" i="3"/>
  <c r="AS259" i="3"/>
  <c r="AT259" i="3"/>
  <c r="AU259" i="3"/>
  <c r="AV259" i="3"/>
  <c r="AW259" i="3"/>
  <c r="AX259" i="3"/>
  <c r="AY259" i="3"/>
  <c r="AZ259" i="3"/>
  <c r="BA259" i="3"/>
  <c r="BB259" i="3"/>
  <c r="BC259" i="3"/>
  <c r="AO254" i="3"/>
  <c r="AO255" i="3"/>
  <c r="AO256" i="3"/>
  <c r="AO257" i="3"/>
  <c r="AO258" i="3"/>
  <c r="AO259" i="3"/>
  <c r="AO253" i="3"/>
  <c r="BB195" i="3"/>
  <c r="BA195" i="3"/>
  <c r="AY195" i="3"/>
  <c r="AX195" i="3"/>
  <c r="AV195" i="3"/>
  <c r="AU195" i="3"/>
  <c r="AS195" i="3"/>
  <c r="AR195" i="3"/>
  <c r="AP195" i="3"/>
  <c r="AO171" i="3"/>
  <c r="BB193" i="3"/>
  <c r="BA193" i="3"/>
  <c r="AY193" i="3"/>
  <c r="AX193" i="3"/>
  <c r="AV193" i="3"/>
  <c r="AU193" i="3"/>
  <c r="AS193" i="3"/>
  <c r="AR193" i="3"/>
  <c r="AP193" i="3"/>
  <c r="AO193" i="3"/>
  <c r="AO169" i="3"/>
  <c r="BB192" i="3"/>
  <c r="BA192" i="3"/>
  <c r="AY192" i="3"/>
  <c r="AX192" i="3"/>
  <c r="AV192" i="3"/>
  <c r="AU192" i="3"/>
  <c r="AS192" i="3"/>
  <c r="AR192" i="3"/>
  <c r="AP192" i="3"/>
  <c r="AO192" i="3"/>
  <c r="AO168" i="3"/>
  <c r="AO167" i="3"/>
  <c r="AO143" i="3"/>
  <c r="BB189" i="3"/>
  <c r="BB191" i="3"/>
  <c r="BA191" i="3"/>
  <c r="AY191" i="3"/>
  <c r="AX191" i="3"/>
  <c r="AV191" i="3"/>
  <c r="AU191" i="3"/>
  <c r="AS191" i="3"/>
  <c r="AR191" i="3"/>
  <c r="AP191" i="3"/>
  <c r="BA189" i="3"/>
  <c r="AY189" i="3"/>
  <c r="AX189" i="3"/>
  <c r="AV189" i="3"/>
  <c r="AU189" i="3"/>
  <c r="AS189" i="3"/>
  <c r="AR189" i="3"/>
  <c r="AP189" i="3"/>
  <c r="AO165" i="3"/>
  <c r="BB187" i="3"/>
  <c r="BA187" i="3"/>
  <c r="AY187" i="3"/>
  <c r="AX187" i="3"/>
  <c r="AV187" i="3"/>
  <c r="AU187" i="3"/>
  <c r="AS187" i="3"/>
  <c r="AP187" i="3"/>
  <c r="AO163" i="3"/>
  <c r="AO157" i="3"/>
  <c r="BB185" i="3"/>
  <c r="BA185" i="3"/>
  <c r="AY185" i="3"/>
  <c r="AX185" i="3"/>
  <c r="AV185" i="3"/>
  <c r="AU185" i="3"/>
  <c r="AS185" i="3"/>
  <c r="AP185" i="3"/>
  <c r="BB184" i="3"/>
  <c r="BA184" i="3"/>
  <c r="AY184" i="3"/>
  <c r="AX184" i="3"/>
  <c r="AV184" i="3"/>
  <c r="AU184" i="3"/>
  <c r="AS184" i="3"/>
  <c r="AP184" i="3"/>
  <c r="AO160" i="3"/>
  <c r="BB183" i="3"/>
  <c r="AV183" i="3"/>
  <c r="AX183" i="3"/>
  <c r="BA183" i="3"/>
  <c r="AY183" i="3"/>
  <c r="AU183" i="3"/>
  <c r="AS183" i="3"/>
  <c r="AP183" i="3"/>
  <c r="BB181" i="3"/>
  <c r="BA181" i="3"/>
  <c r="AY181" i="3"/>
  <c r="AX181" i="3"/>
  <c r="AV181" i="3"/>
  <c r="AU181" i="3"/>
  <c r="AS181" i="3"/>
  <c r="AR181" i="3"/>
  <c r="AP181" i="3"/>
  <c r="BB171" i="3"/>
  <c r="BA171" i="3"/>
  <c r="BB169" i="3"/>
  <c r="BA169" i="3"/>
  <c r="AY171" i="3"/>
  <c r="AX171" i="3"/>
  <c r="AV171" i="3"/>
  <c r="AU171" i="3"/>
  <c r="AS171" i="3"/>
  <c r="AR171" i="3"/>
  <c r="AP171" i="3"/>
  <c r="AO147" i="3"/>
  <c r="AY169" i="3"/>
  <c r="AX169" i="3"/>
  <c r="AV169" i="3"/>
  <c r="AU169" i="3"/>
  <c r="AS169" i="3"/>
  <c r="AR169" i="3"/>
  <c r="AP169" i="3"/>
  <c r="AO145" i="3"/>
  <c r="BB168" i="3"/>
  <c r="BA168" i="3"/>
  <c r="AY168" i="3"/>
  <c r="AX168" i="3"/>
  <c r="AV168" i="3"/>
  <c r="AU168" i="3"/>
  <c r="AS168" i="3"/>
  <c r="AR168" i="3"/>
  <c r="AP168" i="3"/>
  <c r="AO144" i="3"/>
  <c r="BB167" i="3"/>
  <c r="BA167" i="3"/>
  <c r="AY167" i="3"/>
  <c r="AX167" i="3"/>
  <c r="AV167" i="3"/>
  <c r="AU167" i="3"/>
  <c r="AS167" i="3"/>
  <c r="AR167" i="3"/>
  <c r="AP167" i="3"/>
  <c r="BB165" i="3"/>
  <c r="BA165" i="3"/>
  <c r="AY165" i="3"/>
  <c r="AX165" i="3"/>
  <c r="AV165" i="3"/>
  <c r="AU165" i="3"/>
  <c r="AS165" i="3"/>
  <c r="AR165" i="3"/>
  <c r="AP165" i="3"/>
  <c r="AO141" i="3"/>
  <c r="BB163" i="3"/>
  <c r="BA163" i="3"/>
  <c r="AY163" i="3"/>
  <c r="AX163" i="3"/>
  <c r="AV163" i="3"/>
  <c r="AU163" i="3"/>
  <c r="AS163" i="3"/>
  <c r="AR163" i="3"/>
  <c r="AP163" i="3"/>
  <c r="AO139" i="3"/>
  <c r="BB161" i="3"/>
  <c r="BA161" i="3"/>
  <c r="AY161" i="3"/>
  <c r="AX161" i="3"/>
  <c r="AV161" i="3"/>
  <c r="AU161" i="3"/>
  <c r="AS161" i="3"/>
  <c r="AR161" i="3"/>
  <c r="AP161" i="3"/>
  <c r="AO161" i="3"/>
  <c r="AO137" i="3"/>
  <c r="BB160" i="3"/>
  <c r="BA160" i="3"/>
  <c r="AY160" i="3"/>
  <c r="AX160" i="3"/>
  <c r="AV160" i="3"/>
  <c r="AU160" i="3"/>
  <c r="AS160" i="3"/>
  <c r="AR160" i="3"/>
  <c r="AP160" i="3"/>
  <c r="AO136" i="3"/>
  <c r="BB159" i="3"/>
  <c r="BA159" i="3"/>
  <c r="AY159" i="3"/>
  <c r="AX159" i="3"/>
  <c r="AV159" i="3"/>
  <c r="AU159" i="3"/>
  <c r="AS159" i="3"/>
  <c r="AR159" i="3"/>
  <c r="AP159" i="3"/>
  <c r="AO159" i="3"/>
  <c r="AO135" i="3"/>
  <c r="BB157" i="3"/>
  <c r="BA157" i="3"/>
  <c r="AY157" i="3"/>
  <c r="AX157" i="3"/>
  <c r="AV157" i="3"/>
  <c r="AU157" i="3"/>
  <c r="AS157" i="3"/>
  <c r="AR157" i="3"/>
  <c r="AP157" i="3"/>
  <c r="AP147" i="3"/>
  <c r="AQ147" i="3"/>
  <c r="AR147" i="3"/>
  <c r="AS147" i="3"/>
  <c r="AT147" i="3"/>
  <c r="AU147" i="3"/>
  <c r="AV147" i="3"/>
  <c r="AW147" i="3"/>
  <c r="AX147" i="3"/>
  <c r="AY147" i="3"/>
  <c r="AZ147" i="3"/>
  <c r="BA147" i="3"/>
  <c r="BB147" i="3"/>
  <c r="BC147" i="3"/>
  <c r="AP143" i="3"/>
  <c r="AQ143" i="3"/>
  <c r="AR143" i="3"/>
  <c r="AS143" i="3"/>
  <c r="AT143" i="3"/>
  <c r="AU143" i="3"/>
  <c r="AV143" i="3"/>
  <c r="AW143" i="3"/>
  <c r="AX143" i="3"/>
  <c r="AY143" i="3"/>
  <c r="AZ143" i="3"/>
  <c r="BA143" i="3"/>
  <c r="BB143" i="3"/>
  <c r="BC143" i="3"/>
  <c r="AP144" i="3"/>
  <c r="AQ144" i="3"/>
  <c r="AR144" i="3"/>
  <c r="AS144" i="3"/>
  <c r="AT144" i="3"/>
  <c r="AU144" i="3"/>
  <c r="AV144" i="3"/>
  <c r="AW144" i="3"/>
  <c r="AX144" i="3"/>
  <c r="AY144" i="3"/>
  <c r="AZ144" i="3"/>
  <c r="BA144" i="3"/>
  <c r="BB144" i="3"/>
  <c r="BC144" i="3"/>
  <c r="AP145" i="3"/>
  <c r="AQ145" i="3"/>
  <c r="AR145" i="3"/>
  <c r="AS145" i="3"/>
  <c r="AT145" i="3"/>
  <c r="AU145" i="3"/>
  <c r="AV145" i="3"/>
  <c r="AW145" i="3"/>
  <c r="AX145" i="3"/>
  <c r="AY145" i="3"/>
  <c r="AZ145" i="3"/>
  <c r="BA145" i="3"/>
  <c r="BB145" i="3"/>
  <c r="BC145" i="3"/>
  <c r="AP141" i="3"/>
  <c r="AQ141" i="3"/>
  <c r="AR141" i="3"/>
  <c r="AS141" i="3"/>
  <c r="AT141" i="3"/>
  <c r="AU141" i="3"/>
  <c r="AV141" i="3"/>
  <c r="AW141" i="3"/>
  <c r="AX141" i="3"/>
  <c r="AY141" i="3"/>
  <c r="AZ141" i="3"/>
  <c r="BA141" i="3"/>
  <c r="BB141" i="3"/>
  <c r="BC141" i="3"/>
  <c r="AP139" i="3"/>
  <c r="AQ139" i="3"/>
  <c r="AR139" i="3"/>
  <c r="AS139" i="3"/>
  <c r="AT139" i="3"/>
  <c r="AU139" i="3"/>
  <c r="AV139" i="3"/>
  <c r="AW139" i="3"/>
  <c r="AX139" i="3"/>
  <c r="AY139" i="3"/>
  <c r="AZ139" i="3"/>
  <c r="BA139" i="3"/>
  <c r="BB139" i="3"/>
  <c r="BC139" i="3"/>
  <c r="AP135" i="3"/>
  <c r="AQ135" i="3"/>
  <c r="AR135" i="3"/>
  <c r="AS135" i="3"/>
  <c r="AT135" i="3"/>
  <c r="AU135" i="3"/>
  <c r="AV135" i="3"/>
  <c r="AW135" i="3"/>
  <c r="AX135" i="3"/>
  <c r="AY135" i="3"/>
  <c r="AZ135" i="3"/>
  <c r="BA135" i="3"/>
  <c r="BB135" i="3"/>
  <c r="BC135" i="3"/>
  <c r="AP136" i="3"/>
  <c r="AQ136" i="3"/>
  <c r="AR136" i="3"/>
  <c r="AS136" i="3"/>
  <c r="AT136" i="3"/>
  <c r="AU136" i="3"/>
  <c r="AV136" i="3"/>
  <c r="AW136" i="3"/>
  <c r="AX136" i="3"/>
  <c r="AY136" i="3"/>
  <c r="AZ136" i="3"/>
  <c r="BA136" i="3"/>
  <c r="BB136" i="3"/>
  <c r="BC136" i="3"/>
  <c r="AP137" i="3"/>
  <c r="AQ137" i="3"/>
  <c r="AR137" i="3"/>
  <c r="AS137" i="3"/>
  <c r="AT137" i="3"/>
  <c r="AU137" i="3"/>
  <c r="AV137" i="3"/>
  <c r="AW137" i="3"/>
  <c r="AX137" i="3"/>
  <c r="AY137" i="3"/>
  <c r="AZ137" i="3"/>
  <c r="BA137" i="3"/>
  <c r="BB137" i="3"/>
  <c r="BC137" i="3"/>
  <c r="AP133" i="3"/>
  <c r="AQ133" i="3"/>
  <c r="AR133" i="3"/>
  <c r="AS133" i="3"/>
  <c r="AT133" i="3"/>
  <c r="AU133" i="3"/>
  <c r="AV133" i="3"/>
  <c r="AW133" i="3"/>
  <c r="AX133" i="3"/>
  <c r="AY133" i="3"/>
  <c r="AZ133" i="3"/>
  <c r="BA133" i="3"/>
  <c r="BB133" i="3"/>
  <c r="BC133" i="3"/>
  <c r="E80" i="35"/>
  <c r="F80" i="35"/>
  <c r="G80" i="35"/>
  <c r="K80" i="35"/>
  <c r="L80" i="35"/>
  <c r="M80" i="35"/>
  <c r="N80" i="35"/>
  <c r="O80" i="35"/>
  <c r="P80" i="35"/>
  <c r="Q80" i="35"/>
  <c r="R80" i="35"/>
  <c r="S80" i="35"/>
  <c r="T80" i="35"/>
  <c r="U80" i="35"/>
  <c r="V80" i="35"/>
  <c r="W80" i="35"/>
  <c r="X80" i="35"/>
  <c r="Y80" i="35"/>
  <c r="E81" i="35"/>
  <c r="F81" i="35"/>
  <c r="G81" i="35"/>
  <c r="K81" i="35"/>
  <c r="L81" i="35"/>
  <c r="M81" i="35"/>
  <c r="N81" i="35"/>
  <c r="O81" i="35"/>
  <c r="P81" i="35"/>
  <c r="Q81" i="35"/>
  <c r="R81" i="35"/>
  <c r="S81" i="35"/>
  <c r="T81" i="35"/>
  <c r="U81" i="35"/>
  <c r="V81" i="35"/>
  <c r="W81" i="35"/>
  <c r="X81" i="35"/>
  <c r="Y81" i="35"/>
  <c r="E82" i="35"/>
  <c r="F82" i="35"/>
  <c r="G82" i="35"/>
  <c r="K82" i="35"/>
  <c r="L82" i="35"/>
  <c r="M82" i="35"/>
  <c r="N82" i="35"/>
  <c r="O82" i="35"/>
  <c r="P82" i="35"/>
  <c r="Q82" i="35"/>
  <c r="R82" i="35"/>
  <c r="S82" i="35"/>
  <c r="T82" i="35"/>
  <c r="U82" i="35"/>
  <c r="V82" i="35"/>
  <c r="W82" i="35"/>
  <c r="X82" i="35"/>
  <c r="Y82" i="35"/>
  <c r="Y79" i="35"/>
  <c r="X79" i="35"/>
  <c r="W79" i="35"/>
  <c r="V79" i="35"/>
  <c r="U79" i="35"/>
  <c r="T79" i="35"/>
  <c r="S79" i="35"/>
  <c r="R79" i="35"/>
  <c r="Q79" i="35"/>
  <c r="P79" i="35"/>
  <c r="O79" i="35"/>
  <c r="N79" i="35"/>
  <c r="M79" i="35"/>
  <c r="L79" i="35"/>
  <c r="K79" i="35"/>
  <c r="G79" i="35"/>
  <c r="F79" i="35"/>
  <c r="E79" i="35"/>
  <c r="Y78" i="35"/>
  <c r="X78" i="35"/>
  <c r="W78" i="35"/>
  <c r="V78" i="35"/>
  <c r="U78" i="35"/>
  <c r="T78" i="35"/>
  <c r="S78" i="35"/>
  <c r="R78" i="35"/>
  <c r="Q78" i="35"/>
  <c r="P78" i="35"/>
  <c r="O78" i="35"/>
  <c r="N78" i="35"/>
  <c r="M78" i="35"/>
  <c r="L78" i="35"/>
  <c r="K78" i="35"/>
  <c r="G78" i="35"/>
  <c r="F78" i="35"/>
  <c r="E78" i="35"/>
  <c r="AH107" i="35"/>
  <c r="AH108" i="35"/>
  <c r="W72" i="35"/>
  <c r="V72" i="35"/>
  <c r="U72" i="35"/>
  <c r="T72" i="35"/>
  <c r="S72" i="35"/>
  <c r="Y72" i="35"/>
  <c r="Y62" i="35"/>
  <c r="Y63" i="35"/>
  <c r="Y64" i="35"/>
  <c r="M72" i="35"/>
  <c r="L72" i="35"/>
  <c r="K72" i="35"/>
  <c r="G72" i="35"/>
  <c r="X72" i="35"/>
  <c r="R72" i="35"/>
  <c r="K63" i="52"/>
  <c r="A1" i="52"/>
  <c r="K79" i="23"/>
  <c r="C8" i="23"/>
  <c r="C7" i="23"/>
  <c r="J6" i="23"/>
  <c r="C6" i="23"/>
  <c r="J5" i="23"/>
  <c r="C5" i="23"/>
  <c r="A1" i="23"/>
  <c r="E90" i="36"/>
  <c r="AT34" i="54"/>
  <c r="G90" i="36"/>
  <c r="G88" i="36"/>
  <c r="G86" i="36"/>
  <c r="G84" i="36"/>
  <c r="G79" i="36"/>
  <c r="G77" i="36"/>
  <c r="G74" i="36"/>
  <c r="E61" i="36"/>
  <c r="AT21" i="54"/>
  <c r="G61" i="36"/>
  <c r="G59" i="36"/>
  <c r="G57" i="36"/>
  <c r="G55" i="36"/>
  <c r="G51" i="36"/>
  <c r="G49" i="36"/>
  <c r="G25" i="36"/>
  <c r="G22" i="36"/>
  <c r="O18" i="36"/>
  <c r="G18" i="36"/>
  <c r="O15" i="36"/>
  <c r="G15" i="36"/>
  <c r="A1" i="36"/>
  <c r="O124" i="37"/>
  <c r="E90" i="37"/>
  <c r="AO34" i="54"/>
  <c r="G90" i="37"/>
  <c r="G88" i="37"/>
  <c r="G86" i="37"/>
  <c r="G84" i="37"/>
  <c r="G79" i="37"/>
  <c r="G77" i="37"/>
  <c r="G74" i="37"/>
  <c r="E61" i="37"/>
  <c r="AO21" i="54"/>
  <c r="G61" i="37"/>
  <c r="G59" i="37"/>
  <c r="G57" i="37"/>
  <c r="G55" i="37"/>
  <c r="G51" i="37"/>
  <c r="G49" i="37"/>
  <c r="G25" i="37"/>
  <c r="G22" i="37"/>
  <c r="O18" i="37"/>
  <c r="G18" i="37"/>
  <c r="O15" i="37"/>
  <c r="G15" i="37"/>
  <c r="A1" i="37"/>
  <c r="O126" i="38"/>
  <c r="C126" i="38"/>
  <c r="E90" i="38"/>
  <c r="AJ34" i="54"/>
  <c r="G90" i="38"/>
  <c r="G88" i="38"/>
  <c r="G86" i="38"/>
  <c r="G84" i="38"/>
  <c r="G79" i="38"/>
  <c r="G77" i="38"/>
  <c r="G74" i="38"/>
  <c r="E61" i="38"/>
  <c r="AJ21" i="54"/>
  <c r="G61" i="38"/>
  <c r="G59" i="38"/>
  <c r="G57" i="38"/>
  <c r="G55" i="38"/>
  <c r="G51" i="38"/>
  <c r="G49" i="38"/>
  <c r="G25" i="38"/>
  <c r="G22" i="38"/>
  <c r="O18" i="38"/>
  <c r="G18" i="38"/>
  <c r="O15" i="38"/>
  <c r="G15" i="38"/>
  <c r="A1" i="38"/>
  <c r="E90" i="39"/>
  <c r="AE34" i="54"/>
  <c r="G90" i="39"/>
  <c r="G88" i="39"/>
  <c r="G86" i="39"/>
  <c r="G84" i="39"/>
  <c r="G79" i="39"/>
  <c r="G77" i="39"/>
  <c r="G74" i="39"/>
  <c r="E61" i="39"/>
  <c r="AE21" i="54"/>
  <c r="G61" i="39"/>
  <c r="G59" i="39"/>
  <c r="G57" i="39"/>
  <c r="G55" i="39"/>
  <c r="G51" i="39"/>
  <c r="G49" i="39"/>
  <c r="G25" i="39"/>
  <c r="G22" i="39"/>
  <c r="O18" i="39"/>
  <c r="G18" i="39"/>
  <c r="O15" i="39"/>
  <c r="G15" i="39"/>
  <c r="A1" i="39"/>
  <c r="O124" i="40"/>
  <c r="E90" i="40"/>
  <c r="Z34" i="54"/>
  <c r="G90" i="40"/>
  <c r="G88" i="40"/>
  <c r="G86" i="40"/>
  <c r="G79" i="40"/>
  <c r="G77" i="40"/>
  <c r="G74" i="40"/>
  <c r="E61" i="40"/>
  <c r="Z21" i="54"/>
  <c r="G61" i="40"/>
  <c r="G59" i="40"/>
  <c r="G57" i="40"/>
  <c r="G55" i="40"/>
  <c r="G51" i="40"/>
  <c r="G49" i="40"/>
  <c r="G25" i="40"/>
  <c r="G22" i="40"/>
  <c r="O18" i="40"/>
  <c r="G18" i="40"/>
  <c r="O15" i="40"/>
  <c r="G15" i="40"/>
  <c r="A1" i="40"/>
  <c r="O125" i="30"/>
  <c r="C125" i="30"/>
  <c r="E90" i="30"/>
  <c r="U34" i="54"/>
  <c r="G90" i="30"/>
  <c r="G88" i="30"/>
  <c r="G86" i="30"/>
  <c r="G84" i="30"/>
  <c r="G79" i="30"/>
  <c r="G77" i="30"/>
  <c r="G74" i="30"/>
  <c r="E61" i="30"/>
  <c r="U21" i="54"/>
  <c r="G61" i="30"/>
  <c r="G59" i="30"/>
  <c r="G57" i="30"/>
  <c r="G55" i="30"/>
  <c r="G51" i="30"/>
  <c r="G49" i="30"/>
  <c r="G25" i="30"/>
  <c r="G22" i="30"/>
  <c r="O18" i="30"/>
  <c r="G18" i="30"/>
  <c r="O15" i="30"/>
  <c r="G15" i="30"/>
  <c r="A1" i="30"/>
  <c r="E90" i="31"/>
  <c r="P34" i="54"/>
  <c r="G90" i="31"/>
  <c r="G88" i="31"/>
  <c r="G86" i="31"/>
  <c r="G84" i="31"/>
  <c r="G79" i="31"/>
  <c r="G77" i="31"/>
  <c r="G74" i="31"/>
  <c r="E61" i="31"/>
  <c r="P21" i="54"/>
  <c r="G61" i="31"/>
  <c r="G59" i="31"/>
  <c r="G57" i="31"/>
  <c r="G55" i="31"/>
  <c r="G51" i="31"/>
  <c r="G49" i="31"/>
  <c r="G25" i="31"/>
  <c r="G22" i="31"/>
  <c r="O18" i="31"/>
  <c r="G18" i="31"/>
  <c r="O15" i="31"/>
  <c r="G15" i="31"/>
  <c r="A1" i="31"/>
  <c r="O123" i="29"/>
  <c r="E90" i="29"/>
  <c r="K34" i="54"/>
  <c r="G90" i="29"/>
  <c r="G88" i="29"/>
  <c r="G86" i="29"/>
  <c r="G84" i="29"/>
  <c r="G79" i="29"/>
  <c r="G77" i="29"/>
  <c r="G74" i="29"/>
  <c r="E61" i="29"/>
  <c r="K21" i="54"/>
  <c r="G61" i="29"/>
  <c r="G59" i="29"/>
  <c r="G57" i="29"/>
  <c r="G55" i="29"/>
  <c r="G51" i="29"/>
  <c r="G49" i="29"/>
  <c r="G25" i="29"/>
  <c r="G22" i="29"/>
  <c r="O18" i="29"/>
  <c r="G18" i="29"/>
  <c r="O15" i="29"/>
  <c r="G15" i="29"/>
  <c r="A1" i="29"/>
  <c r="O125" i="15"/>
  <c r="E90" i="15"/>
  <c r="G34" i="54"/>
  <c r="G90" i="15"/>
  <c r="G88" i="15"/>
  <c r="G86" i="15"/>
  <c r="G84" i="15"/>
  <c r="G79" i="15"/>
  <c r="G74" i="15"/>
  <c r="E61" i="15"/>
  <c r="G21" i="54"/>
  <c r="G61" i="15"/>
  <c r="G59" i="15"/>
  <c r="G57" i="15"/>
  <c r="G55" i="15"/>
  <c r="G51" i="15"/>
  <c r="G49" i="15"/>
  <c r="G25" i="15"/>
  <c r="G22" i="15"/>
  <c r="O18" i="15"/>
  <c r="G18" i="15"/>
  <c r="O15" i="15"/>
  <c r="G15" i="15"/>
  <c r="A1" i="15"/>
  <c r="O127" i="9"/>
  <c r="M119" i="9"/>
  <c r="E91" i="9"/>
  <c r="C34" i="54"/>
  <c r="G91" i="9"/>
  <c r="G89" i="9"/>
  <c r="G87" i="9"/>
  <c r="G85" i="9"/>
  <c r="G80" i="9"/>
  <c r="G78" i="9"/>
  <c r="G75" i="9"/>
  <c r="E62" i="9"/>
  <c r="C21" i="54"/>
  <c r="G62" i="9"/>
  <c r="G60" i="9"/>
  <c r="G58" i="9"/>
  <c r="G56" i="9"/>
  <c r="G52" i="9"/>
  <c r="G50" i="9"/>
  <c r="G26" i="9"/>
  <c r="G23" i="9"/>
  <c r="O19" i="9"/>
  <c r="G19" i="9"/>
  <c r="O16" i="9"/>
  <c r="A1" i="9"/>
  <c r="T24" i="43"/>
  <c r="S24" i="43"/>
  <c r="R24" i="43"/>
  <c r="T23" i="43"/>
  <c r="S23" i="43"/>
  <c r="R23" i="43"/>
  <c r="T22" i="43"/>
  <c r="S22" i="43"/>
  <c r="R22" i="43"/>
  <c r="T21" i="43"/>
  <c r="S21" i="43"/>
  <c r="R21" i="43"/>
  <c r="T20" i="43"/>
  <c r="S20" i="43"/>
  <c r="R20" i="43"/>
  <c r="T19" i="43"/>
  <c r="S19" i="43"/>
  <c r="R19" i="43"/>
  <c r="T18" i="43"/>
  <c r="S18" i="43"/>
  <c r="R18" i="43"/>
  <c r="T17" i="43"/>
  <c r="S17" i="43"/>
  <c r="R17" i="43"/>
  <c r="T16" i="43"/>
  <c r="S16" i="43"/>
  <c r="R16" i="43"/>
  <c r="T15" i="43"/>
  <c r="S15" i="43"/>
  <c r="R15" i="43"/>
  <c r="T14" i="43"/>
  <c r="S14" i="43"/>
  <c r="R14" i="43"/>
  <c r="AD3" i="43"/>
  <c r="AC3" i="43"/>
  <c r="AB3" i="43"/>
  <c r="AA3" i="43"/>
  <c r="Z3" i="43"/>
  <c r="Y3" i="43"/>
  <c r="X3" i="43"/>
  <c r="W3" i="43"/>
  <c r="V3" i="43"/>
  <c r="U3" i="43"/>
  <c r="T3" i="43"/>
  <c r="S3" i="43"/>
  <c r="R3" i="43"/>
  <c r="Q3" i="43"/>
  <c r="P3" i="43"/>
  <c r="O3" i="43"/>
  <c r="N3" i="43"/>
  <c r="M3" i="43"/>
  <c r="L3" i="43"/>
  <c r="K3" i="43"/>
  <c r="J3" i="43"/>
  <c r="I3" i="43"/>
  <c r="H3" i="43"/>
  <c r="G3" i="43"/>
  <c r="F3" i="43"/>
  <c r="E3" i="43"/>
  <c r="D3" i="43"/>
  <c r="C3" i="43"/>
  <c r="B3" i="43"/>
  <c r="N25" i="43"/>
  <c r="D25" i="43"/>
  <c r="BC32" i="3"/>
  <c r="BC33" i="3" s="1"/>
  <c r="BC34" i="3" s="1"/>
  <c r="BC35" i="3" s="1"/>
  <c r="BC36" i="3" s="1"/>
  <c r="BC37" i="3" s="1"/>
  <c r="BC38" i="3" s="1"/>
  <c r="BC39" i="3" s="1"/>
  <c r="BC40" i="3" s="1"/>
  <c r="BC47" i="3" s="1"/>
  <c r="BC48" i="3" s="1"/>
  <c r="BC49" i="3" s="1"/>
  <c r="BC50" i="3" s="1"/>
  <c r="BC51" i="3" s="1"/>
  <c r="G84" i="40"/>
  <c r="G77" i="15"/>
  <c r="G16" i="9"/>
  <c r="A79" i="35"/>
  <c r="A80" i="35" s="1"/>
  <c r="A81" i="35" s="1"/>
  <c r="A82" i="35" s="1"/>
  <c r="A83" i="35" s="1"/>
  <c r="A84" i="35" s="1"/>
  <c r="A85" i="35" s="1"/>
  <c r="A86" i="35" s="1"/>
  <c r="A87" i="35" s="1"/>
  <c r="A73" i="35"/>
  <c r="Q72" i="35"/>
  <c r="P72" i="35"/>
  <c r="O72" i="35"/>
  <c r="N72" i="35"/>
  <c r="F72" i="35"/>
  <c r="E72" i="35"/>
  <c r="X64" i="35"/>
  <c r="W64" i="35"/>
  <c r="T64" i="35"/>
  <c r="S64" i="35"/>
  <c r="R64" i="35"/>
  <c r="Q64" i="35"/>
  <c r="N64" i="35"/>
  <c r="M64" i="35"/>
  <c r="L64" i="35"/>
  <c r="K64" i="35"/>
  <c r="G64" i="35"/>
  <c r="F64" i="35"/>
  <c r="E64" i="35"/>
  <c r="X63" i="35"/>
  <c r="W63" i="35"/>
  <c r="T63" i="35"/>
  <c r="S63" i="35"/>
  <c r="R63" i="35"/>
  <c r="Q63" i="35"/>
  <c r="N63" i="35"/>
  <c r="M63" i="35"/>
  <c r="L63" i="35"/>
  <c r="K63" i="35"/>
  <c r="G63" i="35"/>
  <c r="F63" i="35"/>
  <c r="E63" i="35"/>
  <c r="A63" i="35"/>
  <c r="A64" i="35"/>
  <c r="A65" i="35"/>
  <c r="A66" i="35"/>
  <c r="A67" i="35" s="1"/>
  <c r="X62" i="35"/>
  <c r="W62" i="35"/>
  <c r="T62" i="35"/>
  <c r="S62" i="35"/>
  <c r="R62" i="35"/>
  <c r="Q62" i="35"/>
  <c r="N62" i="35"/>
  <c r="M62" i="35"/>
  <c r="L62" i="35"/>
  <c r="K62" i="35"/>
  <c r="G62" i="35"/>
  <c r="F62" i="35"/>
  <c r="E62" i="35"/>
  <c r="O56" i="35"/>
  <c r="N56" i="35"/>
  <c r="G56" i="35"/>
  <c r="C56" i="35"/>
  <c r="K56" i="35" s="1"/>
  <c r="G51" i="35"/>
  <c r="C51" i="35"/>
  <c r="L51" i="35" s="1"/>
  <c r="G50" i="35"/>
  <c r="C50" i="35"/>
  <c r="L50" i="35" s="1"/>
  <c r="G49" i="35"/>
  <c r="C49" i="35"/>
  <c r="I49" i="35" s="1"/>
  <c r="G48" i="35"/>
  <c r="C48" i="35"/>
  <c r="I48" i="35" s="1"/>
  <c r="G47" i="35"/>
  <c r="C47" i="35"/>
  <c r="E47" i="35" s="1"/>
  <c r="Z47" i="35" s="1"/>
  <c r="G46" i="35"/>
  <c r="C46" i="35"/>
  <c r="G45" i="35"/>
  <c r="C45" i="35"/>
  <c r="M45" i="35" s="1"/>
  <c r="G44" i="35"/>
  <c r="C44" i="35"/>
  <c r="K44" i="35" s="1"/>
  <c r="G43" i="35"/>
  <c r="C43" i="35"/>
  <c r="L43" i="35" s="1"/>
  <c r="G42" i="35"/>
  <c r="C42" i="35"/>
  <c r="E42" i="35" s="1"/>
  <c r="P42" i="35" s="1"/>
  <c r="AZ36" i="35"/>
  <c r="AS36" i="35" s="1"/>
  <c r="AY36" i="35"/>
  <c r="K36" i="35" s="1"/>
  <c r="AQ36" i="35"/>
  <c r="AJ36" i="35"/>
  <c r="AI36" i="35"/>
  <c r="W36" i="35"/>
  <c r="V36" i="35"/>
  <c r="Z36" i="35"/>
  <c r="U36" i="35"/>
  <c r="T36" i="35"/>
  <c r="S36" i="35"/>
  <c r="R36" i="35"/>
  <c r="Q36" i="35"/>
  <c r="P36" i="35"/>
  <c r="O36" i="35"/>
  <c r="N36" i="35"/>
  <c r="C36" i="35"/>
  <c r="AZ35" i="35"/>
  <c r="AS35" i="35" s="1"/>
  <c r="AY35" i="35"/>
  <c r="F35" i="35"/>
  <c r="AQ35" i="35"/>
  <c r="AJ35" i="35"/>
  <c r="AI35" i="35"/>
  <c r="AM35" i="35" s="1"/>
  <c r="W35" i="35"/>
  <c r="V35" i="35"/>
  <c r="U35" i="35"/>
  <c r="T35" i="35"/>
  <c r="S35" i="35"/>
  <c r="R35" i="35"/>
  <c r="Q35" i="35"/>
  <c r="P35" i="35"/>
  <c r="Z35" i="35"/>
  <c r="O35" i="35"/>
  <c r="Y35" i="35" s="1"/>
  <c r="N35" i="35"/>
  <c r="C35" i="35"/>
  <c r="AZ34" i="35"/>
  <c r="AS34" i="35" s="1"/>
  <c r="AY34" i="35"/>
  <c r="F34" i="35"/>
  <c r="AQ34" i="35"/>
  <c r="AJ34" i="35"/>
  <c r="AI34" i="35"/>
  <c r="W34" i="35"/>
  <c r="V34" i="35"/>
  <c r="U34" i="35"/>
  <c r="T34" i="35"/>
  <c r="S34" i="35"/>
  <c r="R34" i="35"/>
  <c r="Q34" i="35"/>
  <c r="P34" i="35"/>
  <c r="O34" i="35"/>
  <c r="Y34" i="35" s="1"/>
  <c r="N34" i="35"/>
  <c r="C34" i="35"/>
  <c r="AZ33" i="35"/>
  <c r="AR33" i="35" s="1"/>
  <c r="AY33" i="35"/>
  <c r="K33" i="35" s="1"/>
  <c r="F33" i="35"/>
  <c r="AQ33" i="35"/>
  <c r="AJ33" i="35"/>
  <c r="AI33" i="35"/>
  <c r="AM33" i="35" s="1"/>
  <c r="W33" i="35"/>
  <c r="V33" i="35"/>
  <c r="U33" i="35"/>
  <c r="T33" i="35"/>
  <c r="S33" i="35"/>
  <c r="R33" i="35"/>
  <c r="Q33" i="35"/>
  <c r="P33" i="35"/>
  <c r="Z33" i="35"/>
  <c r="O33" i="35"/>
  <c r="N33" i="35"/>
  <c r="C33" i="35"/>
  <c r="AZ32" i="35"/>
  <c r="AS32" i="35" s="1"/>
  <c r="AY32" i="35"/>
  <c r="F32" i="35"/>
  <c r="AQ32" i="35"/>
  <c r="AJ32" i="35"/>
  <c r="AI32" i="35"/>
  <c r="W32" i="35"/>
  <c r="V32" i="35"/>
  <c r="U32" i="35"/>
  <c r="T32" i="35"/>
  <c r="S32" i="35"/>
  <c r="R32" i="35"/>
  <c r="Q32" i="35"/>
  <c r="P32" i="35"/>
  <c r="O32" i="35"/>
  <c r="Y32" i="35" s="1"/>
  <c r="N32" i="35"/>
  <c r="C32" i="35"/>
  <c r="AZ31" i="35"/>
  <c r="AY31" i="35"/>
  <c r="K31" i="35" s="1"/>
  <c r="AQ31" i="35"/>
  <c r="AJ31" i="35"/>
  <c r="AI31" i="35"/>
  <c r="W31" i="35"/>
  <c r="V31" i="35"/>
  <c r="U31" i="35"/>
  <c r="T31" i="35"/>
  <c r="S31" i="35"/>
  <c r="R31" i="35"/>
  <c r="Q31" i="35"/>
  <c r="P31" i="35"/>
  <c r="Z31" i="35"/>
  <c r="O31" i="35"/>
  <c r="Y31" i="35" s="1"/>
  <c r="N31" i="35"/>
  <c r="C31" i="35"/>
  <c r="AZ30" i="35"/>
  <c r="AR30" i="35" s="1"/>
  <c r="AY30" i="35"/>
  <c r="K30" i="35" s="1"/>
  <c r="F30" i="35"/>
  <c r="AQ30" i="35"/>
  <c r="AJ30" i="35"/>
  <c r="AI30" i="35"/>
  <c r="W30" i="35"/>
  <c r="V30" i="35"/>
  <c r="U30" i="35"/>
  <c r="T30" i="35"/>
  <c r="S30" i="35"/>
  <c r="R30" i="35"/>
  <c r="Q30" i="35"/>
  <c r="P30" i="35"/>
  <c r="O30" i="35"/>
  <c r="Y30" i="35" s="1"/>
  <c r="N30" i="35"/>
  <c r="C30" i="35"/>
  <c r="AZ29" i="35"/>
  <c r="AR29" i="35" s="1"/>
  <c r="AY29" i="35"/>
  <c r="X29" i="35" s="1"/>
  <c r="F29" i="35"/>
  <c r="AQ29" i="35"/>
  <c r="AJ29" i="35"/>
  <c r="AI29" i="35"/>
  <c r="W29" i="35"/>
  <c r="V29" i="35"/>
  <c r="U29" i="35"/>
  <c r="T29" i="35"/>
  <c r="S29" i="35"/>
  <c r="R29" i="35"/>
  <c r="Q29" i="35"/>
  <c r="P29" i="35"/>
  <c r="O29" i="35"/>
  <c r="N29" i="35"/>
  <c r="C29" i="35"/>
  <c r="AZ28" i="35"/>
  <c r="AS28" i="35" s="1"/>
  <c r="AY28" i="35"/>
  <c r="AQ28" i="35"/>
  <c r="AJ28" i="35"/>
  <c r="AI28" i="35"/>
  <c r="AM28" i="35" s="1"/>
  <c r="W28" i="35"/>
  <c r="V28" i="35"/>
  <c r="U28" i="35"/>
  <c r="T28" i="35"/>
  <c r="S28" i="35"/>
  <c r="R28" i="35"/>
  <c r="Q28" i="35"/>
  <c r="P28" i="35"/>
  <c r="O28" i="35"/>
  <c r="N28" i="35"/>
  <c r="C28" i="35"/>
  <c r="A28" i="35"/>
  <c r="A29" i="35" s="1"/>
  <c r="A30" i="35" s="1"/>
  <c r="A31" i="35" s="1"/>
  <c r="A32" i="35" s="1"/>
  <c r="A33" i="35" s="1"/>
  <c r="A34" i="35" s="1"/>
  <c r="A35" i="35" s="1"/>
  <c r="A36" i="35" s="1"/>
  <c r="AZ27" i="35"/>
  <c r="AS27" i="35" s="1"/>
  <c r="AY27" i="35"/>
  <c r="K27" i="35" s="1"/>
  <c r="AQ27" i="35"/>
  <c r="AJ27" i="35"/>
  <c r="AI27" i="35"/>
  <c r="W27" i="35"/>
  <c r="V27" i="35"/>
  <c r="U27" i="35"/>
  <c r="T27" i="35"/>
  <c r="S27" i="35"/>
  <c r="R27" i="35"/>
  <c r="Q27" i="35"/>
  <c r="P27" i="35"/>
  <c r="O27" i="35"/>
  <c r="Y27" i="35" s="1"/>
  <c r="N27" i="35"/>
  <c r="C27" i="35"/>
  <c r="N78" i="51"/>
  <c r="I21" i="34"/>
  <c r="C21" i="34"/>
  <c r="I19" i="34"/>
  <c r="C19" i="34"/>
  <c r="I13" i="34"/>
  <c r="C13" i="34"/>
  <c r="I11" i="34"/>
  <c r="C11" i="34"/>
  <c r="I7" i="34"/>
  <c r="J31" i="41"/>
  <c r="J30" i="41"/>
  <c r="J29" i="41"/>
  <c r="J28" i="41"/>
  <c r="J27" i="41"/>
  <c r="J26" i="41"/>
  <c r="J25" i="41"/>
  <c r="J24" i="41"/>
  <c r="J23" i="41"/>
  <c r="J22" i="41"/>
  <c r="J21" i="41"/>
  <c r="B3" i="41"/>
  <c r="B2" i="41"/>
  <c r="L51" i="24"/>
  <c r="L41" i="25"/>
  <c r="B41" i="25"/>
  <c r="I18" i="25"/>
  <c r="C18" i="25"/>
  <c r="I17" i="25"/>
  <c r="C17" i="25"/>
  <c r="I16" i="25"/>
  <c r="C16" i="25"/>
  <c r="L15" i="25"/>
  <c r="I15" i="25"/>
  <c r="C15" i="25"/>
  <c r="C14" i="25"/>
  <c r="C10" i="25"/>
  <c r="K9" i="25"/>
  <c r="C9" i="25"/>
  <c r="K8" i="25"/>
  <c r="C8" i="25"/>
  <c r="L7" i="25"/>
  <c r="I7" i="25"/>
  <c r="C7" i="25"/>
  <c r="L6" i="25"/>
  <c r="I6" i="25"/>
  <c r="C6" i="25"/>
  <c r="C5" i="25"/>
  <c r="A1" i="25"/>
  <c r="H33" i="26"/>
  <c r="B66" i="42"/>
  <c r="C43" i="42"/>
  <c r="C42" i="42"/>
  <c r="C10" i="42"/>
  <c r="C9" i="42"/>
  <c r="B1" i="42"/>
  <c r="Z32" i="35"/>
  <c r="Z34" i="35"/>
  <c r="M51" i="35"/>
  <c r="K51" i="35"/>
  <c r="M50" i="35"/>
  <c r="K50" i="35"/>
  <c r="I50" i="35"/>
  <c r="M46" i="35"/>
  <c r="K46" i="35"/>
  <c r="L46" i="35"/>
  <c r="I46" i="35"/>
  <c r="M28" i="35"/>
  <c r="M32" i="35"/>
  <c r="M36" i="35"/>
  <c r="M29" i="35"/>
  <c r="M33" i="35"/>
  <c r="M27" i="35"/>
  <c r="M31" i="35"/>
  <c r="M30" i="35"/>
  <c r="M34" i="35"/>
  <c r="M35" i="35"/>
  <c r="C19" i="43"/>
  <c r="B19" i="43"/>
  <c r="W20" i="43"/>
  <c r="X23" i="43"/>
  <c r="G36" i="35"/>
  <c r="BC30" i="35"/>
  <c r="O45" i="35" s="1"/>
  <c r="BC34" i="35"/>
  <c r="O49" i="35" s="1"/>
  <c r="BB28" i="35"/>
  <c r="N43" i="35" s="1"/>
  <c r="BB32" i="35"/>
  <c r="N47" i="35" s="1"/>
  <c r="BB36" i="35"/>
  <c r="N51" i="35" s="1"/>
  <c r="BB33" i="35"/>
  <c r="N48" i="35" s="1"/>
  <c r="BC31" i="35"/>
  <c r="O46" i="35" s="1"/>
  <c r="BC35" i="35"/>
  <c r="O50" i="35" s="1"/>
  <c r="BB27" i="35"/>
  <c r="Z62" i="35" s="1"/>
  <c r="BC28" i="35"/>
  <c r="O43" i="35" s="1"/>
  <c r="BC32" i="35"/>
  <c r="O47" i="35" s="1"/>
  <c r="BC36" i="35"/>
  <c r="O51" i="35" s="1"/>
  <c r="BB30" i="35"/>
  <c r="N45" i="35" s="1"/>
  <c r="BB34" i="35"/>
  <c r="N49" i="35" s="1"/>
  <c r="BC29" i="35"/>
  <c r="O44" i="35" s="1"/>
  <c r="BC33" i="35"/>
  <c r="O48" i="35" s="1"/>
  <c r="BC27" i="35"/>
  <c r="AA79" i="35" s="1"/>
  <c r="BB31" i="35"/>
  <c r="N46" i="35" s="1"/>
  <c r="BB35" i="35"/>
  <c r="N50" i="35" s="1"/>
  <c r="BB29" i="35"/>
  <c r="N44" i="35" s="1"/>
  <c r="AC28" i="35"/>
  <c r="AC32" i="35"/>
  <c r="AC36" i="35"/>
  <c r="AC33" i="35"/>
  <c r="AC27" i="35"/>
  <c r="AC30" i="35"/>
  <c r="AC34" i="35"/>
  <c r="AC35" i="35"/>
  <c r="AC29" i="35"/>
  <c r="AC31" i="35"/>
  <c r="Z30" i="35"/>
  <c r="Y29" i="35"/>
  <c r="Y28" i="35"/>
  <c r="Z29" i="35"/>
  <c r="Z28" i="35"/>
  <c r="AM31" i="35"/>
  <c r="Z27" i="35"/>
  <c r="G31" i="35"/>
  <c r="G34" i="35"/>
  <c r="G35" i="35"/>
  <c r="G33" i="35"/>
  <c r="G32" i="35"/>
  <c r="E28" i="35"/>
  <c r="E32" i="35"/>
  <c r="F31" i="35"/>
  <c r="F36" i="35"/>
  <c r="T25" i="43"/>
  <c r="B25" i="43"/>
  <c r="F28" i="35"/>
  <c r="AM27" i="35"/>
  <c r="E33" i="35"/>
  <c r="E34" i="35"/>
  <c r="F27" i="35"/>
  <c r="E29" i="35"/>
  <c r="AM29" i="35"/>
  <c r="E30" i="35"/>
  <c r="E36" i="35"/>
  <c r="L56" i="35"/>
  <c r="AM36" i="35"/>
  <c r="E46" i="35"/>
  <c r="P46" i="35" s="1"/>
  <c r="M56" i="35"/>
  <c r="AM32" i="35"/>
  <c r="AM34" i="35"/>
  <c r="AM30" i="35"/>
  <c r="E51" i="35"/>
  <c r="P51" i="35" s="1"/>
  <c r="R51" i="35" s="1"/>
  <c r="E27" i="35"/>
  <c r="E31" i="35"/>
  <c r="E35" i="35"/>
  <c r="E19" i="43"/>
  <c r="W23" i="43"/>
  <c r="X22" i="43"/>
  <c r="E23" i="43"/>
  <c r="X18" i="43"/>
  <c r="X19" i="43"/>
  <c r="W24" i="43"/>
  <c r="K22" i="41"/>
  <c r="D17" i="43"/>
  <c r="P19" i="43"/>
  <c r="P20" i="43"/>
  <c r="U24" i="43"/>
  <c r="V22" i="43"/>
  <c r="W21" i="43"/>
  <c r="U23" i="43"/>
  <c r="W22" i="43"/>
  <c r="X20" i="43"/>
  <c r="U20" i="43"/>
  <c r="W18" i="43"/>
  <c r="X21" i="43"/>
  <c r="U22" i="43"/>
  <c r="W16" i="43"/>
  <c r="AB21" i="43"/>
  <c r="Y18" i="43"/>
  <c r="AB22" i="43"/>
  <c r="AC20" i="43"/>
  <c r="Y23" i="43"/>
  <c r="Y22" i="43"/>
  <c r="AA22" i="43"/>
  <c r="Z20" i="43"/>
  <c r="AC21" i="43"/>
  <c r="Z22" i="43"/>
  <c r="AB20" i="43"/>
  <c r="AB23" i="43"/>
  <c r="AC22" i="43"/>
  <c r="AC18" i="43"/>
  <c r="AC23" i="43"/>
  <c r="X24" i="43"/>
  <c r="AC24" i="43"/>
  <c r="Z24" i="43"/>
  <c r="V24" i="43"/>
  <c r="AD24" i="43"/>
  <c r="Y24" i="43"/>
  <c r="AB24" i="43"/>
  <c r="U19" i="43"/>
  <c r="AC19" i="43"/>
  <c r="Y33" i="35"/>
  <c r="Y36" i="35"/>
  <c r="N22" i="43"/>
  <c r="N20" i="43"/>
  <c r="X16" i="43"/>
  <c r="Z16" i="43"/>
  <c r="N19" i="43"/>
  <c r="N21" i="43"/>
  <c r="N18" i="43"/>
  <c r="V16" i="43"/>
  <c r="C16" i="43"/>
  <c r="N16" i="43"/>
  <c r="P25" i="43"/>
  <c r="R25" i="43"/>
  <c r="Q25" i="43"/>
  <c r="S25" i="43"/>
  <c r="K21" i="41"/>
  <c r="AO31" i="35"/>
  <c r="BM31" i="35" s="1"/>
  <c r="AO28" i="35"/>
  <c r="E17" i="43"/>
  <c r="V23" i="43"/>
  <c r="V18" i="43"/>
  <c r="AO36" i="35"/>
  <c r="BN36" i="35" s="1"/>
  <c r="BQ36" i="35" s="1"/>
  <c r="AO29" i="35"/>
  <c r="BM29" i="35" s="1"/>
  <c r="AO34" i="35"/>
  <c r="BN34" i="35" s="1"/>
  <c r="BQ34" i="35" s="1"/>
  <c r="AO35" i="35"/>
  <c r="AO32" i="35"/>
  <c r="BN32" i="35" s="1"/>
  <c r="BQ32" i="35" s="1"/>
  <c r="AO27" i="35"/>
  <c r="BN27" i="35" s="1"/>
  <c r="BQ27" i="35" s="1"/>
  <c r="AO33" i="35"/>
  <c r="BM33" i="35" s="1"/>
  <c r="AO30" i="35"/>
  <c r="BM30" i="35" s="1"/>
  <c r="L32" i="35"/>
  <c r="L33" i="35"/>
  <c r="L27" i="35"/>
  <c r="L36" i="35"/>
  <c r="L35" i="35"/>
  <c r="L31" i="35"/>
  <c r="L34" i="35"/>
  <c r="L30" i="35"/>
  <c r="L29" i="35"/>
  <c r="L28" i="35"/>
  <c r="P21" i="43"/>
  <c r="R56" i="35"/>
  <c r="B22" i="43"/>
  <c r="B16" i="43"/>
  <c r="C25" i="43"/>
  <c r="E25" i="43"/>
  <c r="B21" i="43"/>
  <c r="P16" i="43"/>
  <c r="E21" i="43"/>
  <c r="B18" i="43"/>
  <c r="P18" i="43"/>
  <c r="P22" i="43"/>
  <c r="C20" i="43"/>
  <c r="D21" i="43"/>
  <c r="D22" i="43"/>
  <c r="E22" i="43"/>
  <c r="E18" i="43"/>
  <c r="D16" i="43"/>
  <c r="C21" i="43"/>
  <c r="E20" i="43"/>
  <c r="C18" i="43"/>
  <c r="D20" i="43"/>
  <c r="B20" i="43"/>
  <c r="C22" i="43"/>
  <c r="D19" i="43"/>
  <c r="E16" i="43"/>
  <c r="Q18" i="43"/>
  <c r="D18" i="43"/>
  <c r="P23" i="43"/>
  <c r="B23" i="43"/>
  <c r="D23" i="43"/>
  <c r="D24" i="43"/>
  <c r="E24" i="43"/>
  <c r="P24" i="43"/>
  <c r="Q23" i="43"/>
  <c r="Q24" i="43"/>
  <c r="C23" i="43"/>
  <c r="N23" i="43"/>
  <c r="B24" i="43"/>
  <c r="C24" i="43"/>
  <c r="N24" i="43"/>
  <c r="AA24" i="43"/>
  <c r="Q20" i="43"/>
  <c r="AA20" i="43"/>
  <c r="Q22" i="43"/>
  <c r="V20" i="43"/>
  <c r="Q21" i="43"/>
  <c r="V21" i="43"/>
  <c r="Y21" i="43"/>
  <c r="Y20" i="43"/>
  <c r="AD23" i="43"/>
  <c r="AB16" i="43"/>
  <c r="Z23" i="43"/>
  <c r="AB18" i="43"/>
  <c r="U21" i="43"/>
  <c r="Z21" i="43"/>
  <c r="AA23" i="43"/>
  <c r="AD20" i="43"/>
  <c r="AD18" i="43"/>
  <c r="U18" i="43"/>
  <c r="Z18" i="43"/>
  <c r="AD22" i="43"/>
  <c r="AA18" i="43"/>
  <c r="Z19" i="43"/>
  <c r="W19" i="43"/>
  <c r="AB19" i="43"/>
  <c r="I31" i="35"/>
  <c r="I35" i="35"/>
  <c r="I32" i="35"/>
  <c r="I36" i="35"/>
  <c r="I33" i="35"/>
  <c r="I34" i="35"/>
  <c r="Q17" i="43"/>
  <c r="U16" i="43"/>
  <c r="Q16" i="43"/>
  <c r="U17" i="43"/>
  <c r="X17" i="43"/>
  <c r="AC16" i="43"/>
  <c r="W17" i="43"/>
  <c r="C17" i="43"/>
  <c r="N17" i="43"/>
  <c r="Y16" i="43"/>
  <c r="U25" i="43"/>
  <c r="P17" i="43"/>
  <c r="B17" i="43"/>
  <c r="I28" i="35"/>
  <c r="I30" i="35"/>
  <c r="I29" i="35"/>
  <c r="I27" i="35"/>
  <c r="G27" i="35"/>
  <c r="G29" i="35"/>
  <c r="G30" i="35"/>
  <c r="G28" i="35"/>
  <c r="Z25" i="43"/>
  <c r="V25" i="43"/>
  <c r="X25" i="43"/>
  <c r="AC25" i="43"/>
  <c r="W25" i="43"/>
  <c r="AB25" i="43"/>
  <c r="Q15" i="43"/>
  <c r="E15" i="43"/>
  <c r="C15" i="43"/>
  <c r="D14" i="43"/>
  <c r="AD21" i="43"/>
  <c r="AA21" i="43"/>
  <c r="AC17" i="43"/>
  <c r="Q19" i="43"/>
  <c r="AD32" i="35"/>
  <c r="AE32" i="35"/>
  <c r="AF32" i="35" s="1"/>
  <c r="AD33" i="35"/>
  <c r="AE33" i="35"/>
  <c r="AF33" i="35" s="1"/>
  <c r="AD35" i="35"/>
  <c r="AE35" i="35"/>
  <c r="AF35" i="35" s="1"/>
  <c r="AD36" i="35"/>
  <c r="AE36" i="35"/>
  <c r="AF36" i="35" s="1"/>
  <c r="AD34" i="35"/>
  <c r="AE34" i="35"/>
  <c r="AF34" i="35" s="1"/>
  <c r="AD31" i="35"/>
  <c r="AE31" i="35"/>
  <c r="AF31" i="35" s="1"/>
  <c r="AB17" i="43"/>
  <c r="Z17" i="43"/>
  <c r="AD16" i="43"/>
  <c r="AA16" i="43"/>
  <c r="P15" i="43"/>
  <c r="E14" i="43"/>
  <c r="Q14" i="43"/>
  <c r="AD29" i="35"/>
  <c r="AE29" i="35"/>
  <c r="AF29" i="35" s="1"/>
  <c r="Y25" i="43"/>
  <c r="AA25" i="43"/>
  <c r="D15" i="43"/>
  <c r="N15" i="43"/>
  <c r="B15" i="43"/>
  <c r="V17" i="43"/>
  <c r="Y17" i="43"/>
  <c r="Y19" i="43"/>
  <c r="V19" i="43"/>
  <c r="AV32" i="35"/>
  <c r="AW36" i="35"/>
  <c r="BR36" i="35"/>
  <c r="AT33" i="35"/>
  <c r="AT31" i="35"/>
  <c r="AB15" i="43"/>
  <c r="U15" i="43"/>
  <c r="V15" i="43"/>
  <c r="AC15" i="43"/>
  <c r="N14" i="43"/>
  <c r="AD17" i="43"/>
  <c r="AA17" i="43"/>
  <c r="AB14" i="43"/>
  <c r="U14" i="43"/>
  <c r="AC14" i="43"/>
  <c r="C14" i="43"/>
  <c r="P14" i="43"/>
  <c r="B14" i="43"/>
  <c r="AD28" i="35"/>
  <c r="AE28" i="35"/>
  <c r="AF28" i="35" s="1"/>
  <c r="AD30" i="35"/>
  <c r="AD25" i="43"/>
  <c r="Z14" i="43"/>
  <c r="W14" i="43"/>
  <c r="AD19" i="43"/>
  <c r="AA19" i="43"/>
  <c r="AV34" i="35"/>
  <c r="AW34" i="35"/>
  <c r="I9" i="43"/>
  <c r="AW32" i="35"/>
  <c r="AT36" i="35"/>
  <c r="AV36" i="35"/>
  <c r="AT35" i="35"/>
  <c r="B12" i="43"/>
  <c r="AT34" i="35"/>
  <c r="AU34" i="35"/>
  <c r="AW33" i="35"/>
  <c r="AV33" i="35"/>
  <c r="AU32" i="35"/>
  <c r="AT32" i="35"/>
  <c r="AU36" i="35"/>
  <c r="AW35" i="35"/>
  <c r="BR35" i="35"/>
  <c r="AV35" i="35"/>
  <c r="AU35" i="35"/>
  <c r="AU33" i="35"/>
  <c r="AV31" i="35"/>
  <c r="AW31" i="35"/>
  <c r="AU31" i="35"/>
  <c r="I12" i="43"/>
  <c r="J12" i="43"/>
  <c r="N12" i="43"/>
  <c r="M12" i="43"/>
  <c r="K12" i="43"/>
  <c r="L12" i="43"/>
  <c r="B11" i="43"/>
  <c r="F11" i="43"/>
  <c r="W15" i="43"/>
  <c r="AW30" i="35"/>
  <c r="AT30" i="35"/>
  <c r="AV30" i="35"/>
  <c r="AW29" i="35"/>
  <c r="AT29" i="35"/>
  <c r="AV29" i="35"/>
  <c r="Z15" i="43"/>
  <c r="Y15" i="43"/>
  <c r="X14" i="43"/>
  <c r="X15" i="43"/>
  <c r="Y14" i="43"/>
  <c r="AD14" i="43"/>
  <c r="V14" i="43"/>
  <c r="AU29" i="35"/>
  <c r="AU30" i="35"/>
  <c r="AE30" i="35"/>
  <c r="AF30" i="35" s="1"/>
  <c r="AD27" i="35"/>
  <c r="J9" i="43"/>
  <c r="BR29" i="35"/>
  <c r="BR31" i="35"/>
  <c r="BR32" i="35"/>
  <c r="BR33" i="35"/>
  <c r="BR34" i="35"/>
  <c r="M11" i="43"/>
  <c r="B13" i="43"/>
  <c r="C9" i="43"/>
  <c r="F12" i="43"/>
  <c r="F10" i="43"/>
  <c r="Q11" i="43"/>
  <c r="B9" i="43"/>
  <c r="B10" i="43"/>
  <c r="I11" i="43"/>
  <c r="K11" i="43"/>
  <c r="N11" i="43"/>
  <c r="C12" i="43"/>
  <c r="L11" i="43"/>
  <c r="J11" i="43"/>
  <c r="K9" i="43"/>
  <c r="M10" i="43"/>
  <c r="H13" i="43"/>
  <c r="N9" i="43"/>
  <c r="M9" i="43"/>
  <c r="L9" i="43"/>
  <c r="I10" i="43"/>
  <c r="J10" i="43"/>
  <c r="K13" i="43"/>
  <c r="N13" i="43"/>
  <c r="I13" i="43"/>
  <c r="J13" i="43"/>
  <c r="M13" i="43"/>
  <c r="Q13" i="43"/>
  <c r="F13" i="43"/>
  <c r="Q10" i="43"/>
  <c r="H10" i="43"/>
  <c r="K10" i="43"/>
  <c r="Q9" i="43"/>
  <c r="F9" i="43"/>
  <c r="Q12" i="43"/>
  <c r="N8" i="43"/>
  <c r="H8" i="43"/>
  <c r="I8" i="43"/>
  <c r="N10" i="43"/>
  <c r="L10" i="43"/>
  <c r="F8" i="43"/>
  <c r="M8" i="43"/>
  <c r="K8" i="43"/>
  <c r="J8" i="43"/>
  <c r="B8" i="43"/>
  <c r="C8" i="43"/>
  <c r="Q8" i="43"/>
  <c r="C11" i="43"/>
  <c r="D12" i="43"/>
  <c r="G12" i="43"/>
  <c r="E12" i="43"/>
  <c r="H12" i="43"/>
  <c r="AT28" i="35"/>
  <c r="AV28" i="35"/>
  <c r="AW28" i="35"/>
  <c r="AA15" i="43"/>
  <c r="AD15" i="43"/>
  <c r="L6" i="43"/>
  <c r="AA14" i="43"/>
  <c r="B6" i="43"/>
  <c r="F6" i="43"/>
  <c r="K7" i="43"/>
  <c r="J7" i="43"/>
  <c r="N6" i="43"/>
  <c r="I6" i="43"/>
  <c r="J6" i="43"/>
  <c r="K6" i="43"/>
  <c r="M6" i="43"/>
  <c r="S6" i="43"/>
  <c r="E7" i="43"/>
  <c r="N7" i="43"/>
  <c r="I7" i="43"/>
  <c r="M7" i="43"/>
  <c r="L7" i="43"/>
  <c r="AU28" i="35"/>
  <c r="B7" i="43"/>
  <c r="BR30" i="35"/>
  <c r="AE27" i="35"/>
  <c r="AF27" i="35" s="1"/>
  <c r="C10" i="43"/>
  <c r="G9" i="43"/>
  <c r="D9" i="43"/>
  <c r="P11" i="43"/>
  <c r="P9" i="43"/>
  <c r="H9" i="43"/>
  <c r="P12" i="43"/>
  <c r="C13" i="43"/>
  <c r="R8" i="43"/>
  <c r="AC10" i="43"/>
  <c r="D10" i="43"/>
  <c r="P10" i="43"/>
  <c r="E9" i="43"/>
  <c r="E10" i="43"/>
  <c r="G10" i="43"/>
  <c r="W9" i="43"/>
  <c r="U10" i="43"/>
  <c r="G11" i="43"/>
  <c r="V11" i="43"/>
  <c r="R13" i="43"/>
  <c r="P13" i="43"/>
  <c r="D11" i="43"/>
  <c r="E11" i="43"/>
  <c r="G13" i="43"/>
  <c r="L13" i="43"/>
  <c r="E8" i="43"/>
  <c r="AB10" i="43"/>
  <c r="H11" i="43"/>
  <c r="E13" i="43"/>
  <c r="T11" i="43"/>
  <c r="D13" i="43"/>
  <c r="V9" i="43"/>
  <c r="Z9" i="43"/>
  <c r="S8" i="43"/>
  <c r="G8" i="43"/>
  <c r="D8" i="43"/>
  <c r="L8" i="43"/>
  <c r="U12" i="43"/>
  <c r="V10" i="43"/>
  <c r="T9" i="43"/>
  <c r="T6" i="43"/>
  <c r="T13" i="43"/>
  <c r="T12" i="43"/>
  <c r="T8" i="43"/>
  <c r="P8" i="43"/>
  <c r="R12" i="43"/>
  <c r="R11" i="43"/>
  <c r="S9" i="43"/>
  <c r="R10" i="43"/>
  <c r="S12" i="43"/>
  <c r="B5" i="43"/>
  <c r="F5" i="43"/>
  <c r="Q6" i="43"/>
  <c r="C6" i="43"/>
  <c r="P6" i="43"/>
  <c r="H7" i="43"/>
  <c r="S7" i="43"/>
  <c r="E6" i="43"/>
  <c r="D6" i="43"/>
  <c r="H6" i="43"/>
  <c r="D7" i="43"/>
  <c r="R7" i="43"/>
  <c r="G7" i="43"/>
  <c r="N5" i="43"/>
  <c r="J5" i="43"/>
  <c r="M5" i="43"/>
  <c r="K5" i="43"/>
  <c r="E5" i="43"/>
  <c r="I5" i="43"/>
  <c r="P7" i="43"/>
  <c r="G6" i="43"/>
  <c r="F7" i="43"/>
  <c r="L5" i="43"/>
  <c r="C7" i="43"/>
  <c r="BR28" i="35"/>
  <c r="W10" i="43"/>
  <c r="S10" i="43"/>
  <c r="U9" i="43"/>
  <c r="R9" i="43"/>
  <c r="T10" i="43"/>
  <c r="Y11" i="43"/>
  <c r="S13" i="43"/>
  <c r="X13" i="43"/>
  <c r="U11" i="43"/>
  <c r="W11" i="43"/>
  <c r="X10" i="43"/>
  <c r="AA13" i="43"/>
  <c r="Y10" i="43"/>
  <c r="S11" i="43"/>
  <c r="W13" i="43"/>
  <c r="U13" i="43"/>
  <c r="AC6" i="43"/>
  <c r="Z10" i="43"/>
  <c r="W8" i="43"/>
  <c r="U6" i="43"/>
  <c r="AB9" i="43"/>
  <c r="X8" i="43"/>
  <c r="Z12" i="43"/>
  <c r="AC11" i="43"/>
  <c r="Z11" i="43"/>
  <c r="AA10" i="43"/>
  <c r="X9" i="43"/>
  <c r="Y9" i="43"/>
  <c r="V8" i="43"/>
  <c r="U8" i="43"/>
  <c r="R6" i="43"/>
  <c r="AC13" i="43"/>
  <c r="W12" i="43"/>
  <c r="AB12" i="43"/>
  <c r="V12" i="43"/>
  <c r="Y12" i="43"/>
  <c r="X12" i="43"/>
  <c r="AC12" i="43"/>
  <c r="AD10" i="43"/>
  <c r="AB8" i="43"/>
  <c r="AW27" i="35"/>
  <c r="AT27" i="35"/>
  <c r="AV27" i="35"/>
  <c r="C5" i="43"/>
  <c r="U7" i="43"/>
  <c r="X7" i="43"/>
  <c r="W7" i="43"/>
  <c r="P5" i="43"/>
  <c r="AU27" i="35"/>
  <c r="H5" i="43"/>
  <c r="R5" i="43"/>
  <c r="D5" i="43"/>
  <c r="G5" i="43"/>
  <c r="Q7" i="43"/>
  <c r="O11" i="43"/>
  <c r="O9" i="43"/>
  <c r="O6" i="43"/>
  <c r="O8" i="43"/>
  <c r="O10" i="43"/>
  <c r="O13" i="43"/>
  <c r="O12" i="43"/>
  <c r="AA11" i="43"/>
  <c r="X11" i="43"/>
  <c r="AB11" i="43"/>
  <c r="Y13" i="43"/>
  <c r="V13" i="43"/>
  <c r="X6" i="43"/>
  <c r="AB13" i="43"/>
  <c r="AC8" i="43"/>
  <c r="AA9" i="43"/>
  <c r="Z13" i="43"/>
  <c r="AD13" i="43"/>
  <c r="Y8" i="43"/>
  <c r="Z6" i="43"/>
  <c r="AD11" i="43"/>
  <c r="AC9" i="43"/>
  <c r="AD9" i="43"/>
  <c r="Z8" i="43"/>
  <c r="W6" i="43"/>
  <c r="AB6" i="43"/>
  <c r="V6" i="43"/>
  <c r="Y6" i="43"/>
  <c r="AD12" i="43"/>
  <c r="AA12" i="43"/>
  <c r="AA8" i="43"/>
  <c r="O7" i="43"/>
  <c r="Z7" i="43"/>
  <c r="O5" i="43"/>
  <c r="AB7" i="43"/>
  <c r="Q5" i="43"/>
  <c r="T5" i="43"/>
  <c r="W5" i="43"/>
  <c r="V5" i="43"/>
  <c r="X5" i="43"/>
  <c r="S5" i="43"/>
  <c r="U5" i="43"/>
  <c r="T7" i="43"/>
  <c r="V7" i="43"/>
  <c r="AA7" i="43"/>
  <c r="B4" i="43"/>
  <c r="AD8" i="43"/>
  <c r="AB5" i="43"/>
  <c r="AC7" i="43"/>
  <c r="AD6" i="43"/>
  <c r="AA6" i="43"/>
  <c r="AA5" i="43"/>
  <c r="K22" i="25"/>
  <c r="Y5" i="43"/>
  <c r="AC5" i="43"/>
  <c r="Z5" i="43"/>
  <c r="K4" i="43"/>
  <c r="J4" i="43"/>
  <c r="Y7" i="43"/>
  <c r="O4" i="43"/>
  <c r="L4" i="43"/>
  <c r="M4" i="43"/>
  <c r="N4" i="43"/>
  <c r="AD7" i="43"/>
  <c r="I4" i="43"/>
  <c r="F4" i="43"/>
  <c r="BR27" i="35"/>
  <c r="D4" i="43"/>
  <c r="P4" i="43"/>
  <c r="E4" i="43"/>
  <c r="C4" i="43"/>
  <c r="AD5" i="43"/>
  <c r="H4" i="43"/>
  <c r="G4" i="43"/>
  <c r="Q4" i="43"/>
  <c r="R4" i="43"/>
  <c r="S4" i="43"/>
  <c r="T4" i="43"/>
  <c r="U4" i="43"/>
  <c r="V4" i="43"/>
  <c r="W4" i="43"/>
  <c r="X4" i="43"/>
  <c r="AA4" i="43"/>
  <c r="Y4" i="43"/>
  <c r="AB4" i="43"/>
  <c r="Z4" i="43"/>
  <c r="AC4" i="43"/>
  <c r="AD4" i="43"/>
  <c r="AR485" i="3"/>
  <c r="AR483" i="3"/>
  <c r="AR481" i="3"/>
  <c r="AR482" i="3"/>
  <c r="AR480" i="3"/>
  <c r="AR484" i="3"/>
  <c r="AQ482" i="3"/>
  <c r="AQ483" i="3"/>
  <c r="AQ480" i="3"/>
  <c r="AQ484" i="3"/>
  <c r="AQ481" i="3"/>
  <c r="AQ485" i="3"/>
  <c r="AP480" i="3"/>
  <c r="AP481" i="3"/>
  <c r="AP485" i="3"/>
  <c r="AP483" i="3"/>
  <c r="AP484" i="3"/>
  <c r="AP482" i="3"/>
  <c r="AO480" i="3"/>
  <c r="AO484" i="3"/>
  <c r="AO482" i="3"/>
  <c r="AO481" i="3"/>
  <c r="AO485" i="3"/>
  <c r="AO483" i="3"/>
  <c r="AS481" i="3"/>
  <c r="AS485" i="3"/>
  <c r="AS482" i="3"/>
  <c r="AS480" i="3"/>
  <c r="AS484" i="3"/>
  <c r="AS483" i="3"/>
  <c r="BF78" i="35" l="1"/>
  <c r="BL78" i="35" s="1"/>
  <c r="A2" i="24"/>
  <c r="BA17" i="3"/>
  <c r="AZ24" i="3"/>
  <c r="A2" i="22"/>
  <c r="A2" i="26"/>
  <c r="AN34" i="35"/>
  <c r="AN28" i="35"/>
  <c r="L49" i="35"/>
  <c r="K49" i="35"/>
  <c r="M49" i="35"/>
  <c r="I45" i="35"/>
  <c r="I44" i="35"/>
  <c r="L45" i="35"/>
  <c r="L44" i="35"/>
  <c r="M44" i="35"/>
  <c r="X34" i="35"/>
  <c r="AB34" i="35" s="1"/>
  <c r="M57" i="35"/>
  <c r="K48" i="35"/>
  <c r="M48" i="35"/>
  <c r="I47" i="35"/>
  <c r="L42" i="35"/>
  <c r="L47" i="35"/>
  <c r="X28" i="35"/>
  <c r="AB28" i="35" s="1"/>
  <c r="BI28" i="35" s="1"/>
  <c r="BH78" i="35"/>
  <c r="BO78" i="35" s="1"/>
  <c r="E49" i="35"/>
  <c r="Z49" i="35" s="1"/>
  <c r="X35" i="35"/>
  <c r="AB35" i="35" s="1"/>
  <c r="E48" i="35"/>
  <c r="Z48" i="35" s="1"/>
  <c r="E45" i="35"/>
  <c r="P45" i="35" s="1"/>
  <c r="R45" i="35" s="1"/>
  <c r="I43" i="35"/>
  <c r="I51" i="35"/>
  <c r="K45" i="35"/>
  <c r="BF79" i="35"/>
  <c r="BK79" i="35" s="1"/>
  <c r="K42" i="35"/>
  <c r="K47" i="35"/>
  <c r="M42" i="35"/>
  <c r="M47" i="35"/>
  <c r="I42" i="35"/>
  <c r="L48" i="35"/>
  <c r="K43" i="35"/>
  <c r="M43" i="35"/>
  <c r="E43" i="35"/>
  <c r="P43" i="35" s="1"/>
  <c r="R43" i="35" s="1"/>
  <c r="E44" i="35"/>
  <c r="P44" i="35" s="1"/>
  <c r="Q44" i="35" s="1"/>
  <c r="X32" i="35"/>
  <c r="AB32" i="35" s="1"/>
  <c r="BE32" i="35" s="1"/>
  <c r="E50" i="35"/>
  <c r="Z50" i="35" s="1"/>
  <c r="Z42" i="35"/>
  <c r="AR36" i="35"/>
  <c r="AN32" i="35"/>
  <c r="AZ19" i="3"/>
  <c r="AR35" i="35"/>
  <c r="AN30" i="35"/>
  <c r="BN31" i="35"/>
  <c r="BQ31" i="35" s="1"/>
  <c r="AR28" i="35"/>
  <c r="O42" i="35"/>
  <c r="AZ18" i="3"/>
  <c r="AA80" i="35"/>
  <c r="AA64" i="35"/>
  <c r="AN35" i="35"/>
  <c r="AA62" i="35"/>
  <c r="AN36" i="35"/>
  <c r="K35" i="35"/>
  <c r="AR32" i="35"/>
  <c r="AA63" i="35"/>
  <c r="Z51" i="35"/>
  <c r="X33" i="35"/>
  <c r="AB33" i="35" s="1"/>
  <c r="BJ33" i="35" s="1"/>
  <c r="AA72" i="35"/>
  <c r="X27" i="35"/>
  <c r="AB27" i="35" s="1"/>
  <c r="BA25" i="3"/>
  <c r="AZ22" i="3"/>
  <c r="P47" i="35"/>
  <c r="R47" i="35" s="1"/>
  <c r="Z46" i="35"/>
  <c r="K29" i="35"/>
  <c r="BA23" i="3"/>
  <c r="X36" i="35"/>
  <c r="AB36" i="35" s="1"/>
  <c r="AS30" i="35"/>
  <c r="AS33" i="35"/>
  <c r="AR27" i="35"/>
  <c r="X30" i="35"/>
  <c r="AB30" i="35" s="1"/>
  <c r="BJ30" i="35" s="1"/>
  <c r="BN30" i="35"/>
  <c r="BQ30" i="35" s="1"/>
  <c r="BM36" i="35"/>
  <c r="BO36" i="35" s="1"/>
  <c r="BN33" i="35"/>
  <c r="BO33" i="35" s="1"/>
  <c r="AN31" i="35"/>
  <c r="A1" i="57"/>
  <c r="B1" i="50"/>
  <c r="BM34" i="35"/>
  <c r="BO34" i="35" s="1"/>
  <c r="BN29" i="35"/>
  <c r="BQ29" i="35" s="1"/>
  <c r="Q51" i="35"/>
  <c r="Q46" i="35"/>
  <c r="R46" i="35"/>
  <c r="AN27" i="35"/>
  <c r="AN33" i="35"/>
  <c r="AN29" i="35"/>
  <c r="AS29" i="35"/>
  <c r="K34" i="35"/>
  <c r="X31" i="35"/>
  <c r="AB31" i="35" s="1"/>
  <c r="BG31" i="35" s="1"/>
  <c r="BM32" i="35"/>
  <c r="BO32" i="35" s="1"/>
  <c r="A2" i="55"/>
  <c r="AB29" i="35"/>
  <c r="BL29" i="35" s="1"/>
  <c r="K94" i="35"/>
  <c r="M94" i="35" s="1"/>
  <c r="B1" i="51"/>
  <c r="A1" i="24"/>
  <c r="A1" i="22"/>
  <c r="A1" i="26"/>
  <c r="AG27" i="35"/>
  <c r="AG31" i="35"/>
  <c r="K28" i="35"/>
  <c r="AR34" i="35"/>
  <c r="BM28" i="35"/>
  <c r="BN28" i="35"/>
  <c r="BQ28" i="35" s="1"/>
  <c r="AG32" i="35"/>
  <c r="AG30" i="35"/>
  <c r="AG33" i="35"/>
  <c r="AG35" i="35"/>
  <c r="AG34" i="35"/>
  <c r="AG28" i="35"/>
  <c r="AG29" i="35"/>
  <c r="BM27" i="35"/>
  <c r="BO27" i="35" s="1"/>
  <c r="Z81" i="35"/>
  <c r="Z78" i="35"/>
  <c r="Z64" i="35"/>
  <c r="Z79" i="35"/>
  <c r="Z72" i="35"/>
  <c r="Z80" i="35"/>
  <c r="N42" i="35"/>
  <c r="Z82" i="35"/>
  <c r="AS31" i="35"/>
  <c r="AR31" i="35"/>
  <c r="Q42" i="35"/>
  <c r="R42" i="35"/>
  <c r="BM35" i="35"/>
  <c r="BN35" i="35"/>
  <c r="BQ35" i="35" s="1"/>
  <c r="AG36" i="35"/>
  <c r="K32" i="35"/>
  <c r="Z63" i="35"/>
  <c r="AA78" i="35"/>
  <c r="AA82" i="35"/>
  <c r="AA81" i="35"/>
  <c r="AV27" i="3"/>
  <c r="AW27" i="3" s="1"/>
  <c r="AX27" i="3" s="1"/>
  <c r="AY27" i="3" s="1"/>
  <c r="AZ27" i="3" s="1"/>
  <c r="BA27" i="3" s="1"/>
  <c r="Q93" i="35"/>
  <c r="BH80" i="35"/>
  <c r="BO80" i="35" s="1"/>
  <c r="BJ81" i="35"/>
  <c r="F13" i="6" s="1"/>
  <c r="W13" i="6" s="1"/>
  <c r="BL79" i="35"/>
  <c r="BG79" i="35"/>
  <c r="BM79" i="35" s="1"/>
  <c r="BN79" i="35" s="1"/>
  <c r="BK78" i="35"/>
  <c r="AU62" i="35"/>
  <c r="BG82" i="35"/>
  <c r="BM82" i="35" s="1"/>
  <c r="BN82" i="35" s="1"/>
  <c r="BG78" i="35"/>
  <c r="BM78" i="35" s="1"/>
  <c r="BN78" i="35" s="1"/>
  <c r="BJ78" i="35"/>
  <c r="F10" i="6" s="1"/>
  <c r="AE10" i="6" s="1"/>
  <c r="R42" i="43" s="1"/>
  <c r="BH79" i="35"/>
  <c r="BO79" i="35" s="1"/>
  <c r="BJ82" i="35"/>
  <c r="F14" i="6" s="1"/>
  <c r="D46" i="43" s="1"/>
  <c r="G94" i="35"/>
  <c r="E94" i="35"/>
  <c r="BF80" i="35"/>
  <c r="BL80" i="35" s="1"/>
  <c r="H94" i="35"/>
  <c r="F2" i="6"/>
  <c r="E2" i="6" s="1"/>
  <c r="B34" i="43" s="1"/>
  <c r="K93" i="35"/>
  <c r="P93" i="35" s="1"/>
  <c r="F4" i="6"/>
  <c r="E4" i="6" s="1"/>
  <c r="B36" i="43" s="1"/>
  <c r="AU64" i="35"/>
  <c r="AU72" i="35"/>
  <c r="BF82" i="35"/>
  <c r="BF81" i="35"/>
  <c r="BJ79" i="35"/>
  <c r="BJ80" i="35"/>
  <c r="F12" i="6" s="1"/>
  <c r="F3" i="6"/>
  <c r="AU63" i="35"/>
  <c r="E93" i="35"/>
  <c r="F93" i="35"/>
  <c r="G93" i="35"/>
  <c r="BH82" i="35"/>
  <c r="BO82" i="35" s="1"/>
  <c r="BH81" i="35"/>
  <c r="BO81" i="35" s="1"/>
  <c r="BG81" i="35"/>
  <c r="BM81" i="35" s="1"/>
  <c r="BN81" i="35" s="1"/>
  <c r="BG80" i="35"/>
  <c r="BM80" i="35" s="1"/>
  <c r="BN80" i="35" s="1"/>
  <c r="F94" i="35"/>
  <c r="K33" i="41"/>
  <c r="R93" i="35"/>
  <c r="R44" i="35" l="1"/>
  <c r="AZ26" i="3"/>
  <c r="AZ20" i="3" s="1"/>
  <c r="Z44" i="35"/>
  <c r="P50" i="35"/>
  <c r="Q50" i="35" s="1"/>
  <c r="BF35" i="35"/>
  <c r="BH35" i="35" s="1"/>
  <c r="BI35" i="35"/>
  <c r="Z45" i="35"/>
  <c r="Q45" i="35"/>
  <c r="P49" i="35"/>
  <c r="R49" i="35" s="1"/>
  <c r="Z43" i="35"/>
  <c r="P48" i="35"/>
  <c r="R48" i="35" s="1"/>
  <c r="Q43" i="35"/>
  <c r="Q47" i="35"/>
  <c r="BO31" i="35"/>
  <c r="BK35" i="35"/>
  <c r="BQ33" i="35"/>
  <c r="BJ27" i="35"/>
  <c r="BE27" i="35"/>
  <c r="BI27" i="35"/>
  <c r="BK27" i="35"/>
  <c r="BA26" i="3"/>
  <c r="BA20" i="3" s="1"/>
  <c r="BL30" i="35"/>
  <c r="BP30" i="35" s="1"/>
  <c r="BE36" i="35"/>
  <c r="BJ36" i="35"/>
  <c r="BG32" i="35"/>
  <c r="BP78" i="35"/>
  <c r="BF32" i="35"/>
  <c r="BH32" i="35" s="1"/>
  <c r="BE33" i="35"/>
  <c r="BL27" i="35"/>
  <c r="BG27" i="35"/>
  <c r="O94" i="35"/>
  <c r="L94" i="35"/>
  <c r="N94" i="35"/>
  <c r="AV72" i="35"/>
  <c r="BE28" i="35"/>
  <c r="BL33" i="35"/>
  <c r="BP33" i="35" s="1"/>
  <c r="BJ28" i="35"/>
  <c r="BI31" i="35"/>
  <c r="BO30" i="35"/>
  <c r="BK33" i="35"/>
  <c r="BG28" i="35"/>
  <c r="BL28" i="35"/>
  <c r="BI32" i="35"/>
  <c r="BF27" i="35"/>
  <c r="BH27" i="35" s="1"/>
  <c r="BF29" i="35"/>
  <c r="BH29" i="35" s="1"/>
  <c r="BF33" i="35"/>
  <c r="BH33" i="35" s="1"/>
  <c r="BG33" i="35"/>
  <c r="BF28" i="35"/>
  <c r="BH28" i="35" s="1"/>
  <c r="BE35" i="35"/>
  <c r="BL35" i="35"/>
  <c r="BG35" i="35"/>
  <c r="BK36" i="35"/>
  <c r="BI33" i="35"/>
  <c r="BK28" i="35"/>
  <c r="BL36" i="35"/>
  <c r="BI36" i="35"/>
  <c r="BF36" i="35"/>
  <c r="BH36" i="35" s="1"/>
  <c r="BJ35" i="35"/>
  <c r="BG36" i="35"/>
  <c r="BJ32" i="35"/>
  <c r="BK32" i="35"/>
  <c r="BL32" i="35"/>
  <c r="Z13" i="6"/>
  <c r="M45" i="43" s="1"/>
  <c r="AV64" i="35"/>
  <c r="BO29" i="35"/>
  <c r="BP79" i="35"/>
  <c r="BK29" i="35"/>
  <c r="BJ29" i="35"/>
  <c r="BP29" i="35" s="1"/>
  <c r="BG30" i="35"/>
  <c r="BE30" i="35"/>
  <c r="BJ31" i="35"/>
  <c r="AF13" i="6"/>
  <c r="S45" i="43" s="1"/>
  <c r="BK31" i="35"/>
  <c r="BF31" i="35"/>
  <c r="BH31" i="35" s="1"/>
  <c r="BG29" i="35"/>
  <c r="BI29" i="35"/>
  <c r="BI30" i="35"/>
  <c r="BF30" i="35"/>
  <c r="BH30" i="35" s="1"/>
  <c r="C13" i="6"/>
  <c r="AS13" i="6" s="1"/>
  <c r="Y13" i="6"/>
  <c r="L45" i="43" s="1"/>
  <c r="BL31" i="35"/>
  <c r="BE31" i="35"/>
  <c r="BE29" i="35"/>
  <c r="BK30" i="35"/>
  <c r="X13" i="6"/>
  <c r="AC13" i="6"/>
  <c r="P45" i="43" s="1"/>
  <c r="T13" i="6"/>
  <c r="AG13" i="6"/>
  <c r="T45" i="43" s="1"/>
  <c r="E13" i="6"/>
  <c r="K13" i="6" s="1"/>
  <c r="I45" i="43" s="1"/>
  <c r="O13" i="6"/>
  <c r="AH13" i="6"/>
  <c r="U45" i="43" s="1"/>
  <c r="AZ72" i="35"/>
  <c r="P94" i="35"/>
  <c r="BL34" i="35"/>
  <c r="BI34" i="35"/>
  <c r="BG34" i="35"/>
  <c r="D45" i="43"/>
  <c r="AE13" i="6"/>
  <c r="R45" i="43" s="1"/>
  <c r="AA13" i="6"/>
  <c r="N45" i="43" s="1"/>
  <c r="V13" i="6"/>
  <c r="AB13" i="6"/>
  <c r="O45" i="43" s="1"/>
  <c r="BK34" i="35"/>
  <c r="BO35" i="35"/>
  <c r="U13" i="6"/>
  <c r="AD13" i="6"/>
  <c r="Q45" i="43" s="1"/>
  <c r="D13" i="6"/>
  <c r="P13" i="6" s="1"/>
  <c r="BE34" i="35"/>
  <c r="BJ34" i="35"/>
  <c r="BO28" i="35"/>
  <c r="BF34" i="35"/>
  <c r="BH34" i="35" s="1"/>
  <c r="BP80" i="35"/>
  <c r="AV62" i="35"/>
  <c r="M93" i="35"/>
  <c r="BD68" i="35"/>
  <c r="G95" i="35"/>
  <c r="BK80" i="35"/>
  <c r="N93" i="35"/>
  <c r="O93" i="35"/>
  <c r="C10" i="6"/>
  <c r="AS10" i="6" s="1"/>
  <c r="AE14" i="6"/>
  <c r="R46" i="43" s="1"/>
  <c r="L93" i="35"/>
  <c r="AV63" i="35"/>
  <c r="AB14" i="6"/>
  <c r="O46" i="43" s="1"/>
  <c r="O10" i="6"/>
  <c r="E14" i="6"/>
  <c r="B46" i="43" s="1"/>
  <c r="O14" i="6"/>
  <c r="AB10" i="6"/>
  <c r="O42" i="43" s="1"/>
  <c r="AA14" i="6"/>
  <c r="N46" i="43" s="1"/>
  <c r="BP82" i="35"/>
  <c r="W14" i="6"/>
  <c r="Y14" i="6"/>
  <c r="L46" i="43" s="1"/>
  <c r="AD10" i="6"/>
  <c r="Q42" i="43" s="1"/>
  <c r="E10" i="6"/>
  <c r="B42" i="43" s="1"/>
  <c r="Z14" i="6"/>
  <c r="M46" i="43" s="1"/>
  <c r="Z10" i="6"/>
  <c r="M42" i="43" s="1"/>
  <c r="X10" i="6"/>
  <c r="T14" i="6"/>
  <c r="AF14" i="6"/>
  <c r="S46" i="43" s="1"/>
  <c r="AG14" i="6"/>
  <c r="T46" i="43" s="1"/>
  <c r="AF10" i="6"/>
  <c r="S42" i="43" s="1"/>
  <c r="D42" i="43"/>
  <c r="AA10" i="6"/>
  <c r="N42" i="43" s="1"/>
  <c r="U14" i="6"/>
  <c r="C14" i="6"/>
  <c r="I14" i="6" s="1"/>
  <c r="G46" i="43" s="1"/>
  <c r="U10" i="6"/>
  <c r="AC10" i="6"/>
  <c r="P42" i="43" s="1"/>
  <c r="Y10" i="6"/>
  <c r="L42" i="43" s="1"/>
  <c r="D10" i="6"/>
  <c r="P10" i="6" s="1"/>
  <c r="T10" i="6"/>
  <c r="AH14" i="6"/>
  <c r="U46" i="43" s="1"/>
  <c r="D14" i="6"/>
  <c r="J14" i="6" s="1"/>
  <c r="H46" i="43" s="1"/>
  <c r="AD14" i="6"/>
  <c r="Q46" i="43" s="1"/>
  <c r="D4" i="6"/>
  <c r="V14" i="6"/>
  <c r="AC14" i="6"/>
  <c r="P46" i="43" s="1"/>
  <c r="X14" i="6"/>
  <c r="AH10" i="6"/>
  <c r="U42" i="43" s="1"/>
  <c r="AG10" i="6"/>
  <c r="T42" i="43" s="1"/>
  <c r="W10" i="6"/>
  <c r="V10" i="6"/>
  <c r="F8" i="6"/>
  <c r="BA74" i="35"/>
  <c r="D2" i="6"/>
  <c r="U2" i="6"/>
  <c r="X2" i="6"/>
  <c r="V2" i="6"/>
  <c r="D34" i="43"/>
  <c r="W2" i="6"/>
  <c r="T2" i="6"/>
  <c r="T4" i="6"/>
  <c r="X4" i="6"/>
  <c r="U4" i="6"/>
  <c r="W4" i="6"/>
  <c r="V4" i="6"/>
  <c r="C4" i="6"/>
  <c r="C2" i="6"/>
  <c r="D36" i="43"/>
  <c r="BL81" i="35"/>
  <c r="BK81" i="35"/>
  <c r="BK82" i="35"/>
  <c r="BL82" i="35"/>
  <c r="E3" i="6"/>
  <c r="B35" i="43" s="1"/>
  <c r="D3" i="6"/>
  <c r="C3" i="6"/>
  <c r="U3" i="6"/>
  <c r="W3" i="6"/>
  <c r="V3" i="6"/>
  <c r="T3" i="6"/>
  <c r="D35" i="43"/>
  <c r="X3" i="6"/>
  <c r="F95" i="35"/>
  <c r="H95" i="35"/>
  <c r="U12" i="6"/>
  <c r="C12" i="6"/>
  <c r="X12" i="6"/>
  <c r="D44" i="43"/>
  <c r="Y12" i="6"/>
  <c r="L44" i="43" s="1"/>
  <c r="W12" i="6"/>
  <c r="Z12" i="6"/>
  <c r="M44" i="43" s="1"/>
  <c r="AG12" i="6"/>
  <c r="T44" i="43" s="1"/>
  <c r="AE12" i="6"/>
  <c r="R44" i="43" s="1"/>
  <c r="AF12" i="6"/>
  <c r="S44" i="43" s="1"/>
  <c r="T12" i="6"/>
  <c r="E12" i="6"/>
  <c r="AB12" i="6"/>
  <c r="O44" i="43" s="1"/>
  <c r="AA12" i="6"/>
  <c r="N44" i="43" s="1"/>
  <c r="AD12" i="6"/>
  <c r="Q44" i="43" s="1"/>
  <c r="AC12" i="6"/>
  <c r="P44" i="43" s="1"/>
  <c r="AH12" i="6"/>
  <c r="U44" i="43" s="1"/>
  <c r="V12" i="6"/>
  <c r="D12" i="6"/>
  <c r="O12" i="6"/>
  <c r="BP88" i="35"/>
  <c r="F11" i="6"/>
  <c r="BP81" i="35"/>
  <c r="AX72" i="35"/>
  <c r="AY72" i="35" s="1"/>
  <c r="AW72" i="35"/>
  <c r="E95" i="35"/>
  <c r="AX63" i="35"/>
  <c r="BP27" i="35" l="1"/>
  <c r="R50" i="35"/>
  <c r="BP31" i="35"/>
  <c r="Q48" i="35"/>
  <c r="C30" i="34"/>
  <c r="Q49" i="35"/>
  <c r="I13" i="6"/>
  <c r="N13" i="6" s="1"/>
  <c r="C29" i="34"/>
  <c r="BP36" i="35"/>
  <c r="AN13" i="6"/>
  <c r="X45" i="43" s="1"/>
  <c r="BP35" i="35"/>
  <c r="BP28" i="35"/>
  <c r="J13" i="6"/>
  <c r="H45" i="43" s="1"/>
  <c r="M13" i="6"/>
  <c r="K45" i="43" s="1"/>
  <c r="AM13" i="6"/>
  <c r="W45" i="43" s="1"/>
  <c r="AO13" i="6"/>
  <c r="L13" i="6"/>
  <c r="J45" i="43" s="1"/>
  <c r="AQ13" i="6"/>
  <c r="AR13" i="6"/>
  <c r="E45" i="43" s="1"/>
  <c r="AL13" i="6"/>
  <c r="V45" i="43" s="1"/>
  <c r="AU13" i="6"/>
  <c r="C45" i="43" s="1"/>
  <c r="BP32" i="35"/>
  <c r="AX64" i="35"/>
  <c r="AY64" i="35" s="1"/>
  <c r="B45" i="43"/>
  <c r="BP34" i="35"/>
  <c r="BA72" i="35"/>
  <c r="C28" i="34"/>
  <c r="P14" i="6"/>
  <c r="K10" i="6"/>
  <c r="I42" i="43" s="1"/>
  <c r="AL10" i="6"/>
  <c r="V42" i="43" s="1"/>
  <c r="O95" i="35"/>
  <c r="AZ63" i="35"/>
  <c r="BA63" i="35" s="1"/>
  <c r="AN10" i="6"/>
  <c r="X42" i="43" s="1"/>
  <c r="AQ10" i="6"/>
  <c r="K14" i="6"/>
  <c r="I46" i="43" s="1"/>
  <c r="J10" i="6"/>
  <c r="H42" i="43" s="1"/>
  <c r="AS14" i="6"/>
  <c r="BB62" i="35"/>
  <c r="O96" i="35"/>
  <c r="M96" i="35" s="1"/>
  <c r="AX62" i="35"/>
  <c r="AY62" i="35" s="1"/>
  <c r="AM2" i="6"/>
  <c r="W34" i="43" s="1"/>
  <c r="AR10" i="6"/>
  <c r="E42" i="43" s="1"/>
  <c r="L10" i="6"/>
  <c r="J42" i="43" s="1"/>
  <c r="AU10" i="6"/>
  <c r="C42" i="43" s="1"/>
  <c r="AO10" i="6"/>
  <c r="AM10" i="6"/>
  <c r="W42" i="43" s="1"/>
  <c r="I10" i="6"/>
  <c r="N10" i="6" s="1"/>
  <c r="M10" i="6"/>
  <c r="K42" i="43" s="1"/>
  <c r="I2" i="6"/>
  <c r="AU2" i="6"/>
  <c r="C34" i="43" s="1"/>
  <c r="AU14" i="6"/>
  <c r="C46" i="43" s="1"/>
  <c r="N14" i="6"/>
  <c r="M14" i="6"/>
  <c r="K46" i="43" s="1"/>
  <c r="AM14" i="6"/>
  <c r="W46" i="43" s="1"/>
  <c r="AN14" i="6"/>
  <c r="X46" i="43" s="1"/>
  <c r="AQ14" i="6"/>
  <c r="H2" i="6"/>
  <c r="G2" i="6"/>
  <c r="L14" i="6"/>
  <c r="J46" i="43" s="1"/>
  <c r="AR14" i="6"/>
  <c r="E46" i="43" s="1"/>
  <c r="L2" i="6"/>
  <c r="AO14" i="6"/>
  <c r="AL14" i="6"/>
  <c r="V46" i="43" s="1"/>
  <c r="H4" i="6"/>
  <c r="G4" i="6"/>
  <c r="L4" i="6"/>
  <c r="AM4" i="6"/>
  <c r="W36" i="43" s="1"/>
  <c r="AR4" i="6"/>
  <c r="E36" i="43" s="1"/>
  <c r="AU4" i="6"/>
  <c r="C36" i="43" s="1"/>
  <c r="J4" i="6"/>
  <c r="I4" i="6"/>
  <c r="X8" i="6"/>
  <c r="D8" i="6"/>
  <c r="U8" i="6"/>
  <c r="W8" i="6"/>
  <c r="D40" i="43"/>
  <c r="V8" i="6"/>
  <c r="E8" i="6"/>
  <c r="B40" i="43" s="1"/>
  <c r="T8" i="6"/>
  <c r="C8" i="6"/>
  <c r="J12" i="6"/>
  <c r="H44" i="43" s="1"/>
  <c r="P12" i="6"/>
  <c r="D43" i="43"/>
  <c r="T11" i="6"/>
  <c r="C11" i="6"/>
  <c r="V11" i="6"/>
  <c r="D11" i="6"/>
  <c r="U11" i="6"/>
  <c r="E11" i="6"/>
  <c r="Y11" i="6"/>
  <c r="L43" i="43" s="1"/>
  <c r="AC11" i="6"/>
  <c r="P43" i="43" s="1"/>
  <c r="X11" i="6"/>
  <c r="O11" i="6"/>
  <c r="Z11" i="6"/>
  <c r="M43" i="43" s="1"/>
  <c r="AB11" i="6"/>
  <c r="O43" i="43" s="1"/>
  <c r="AA11" i="6"/>
  <c r="N43" i="43" s="1"/>
  <c r="AD11" i="6"/>
  <c r="Q43" i="43" s="1"/>
  <c r="W11" i="6"/>
  <c r="AG11" i="6"/>
  <c r="T43" i="43" s="1"/>
  <c r="AF11" i="6"/>
  <c r="S43" i="43" s="1"/>
  <c r="AH11" i="6"/>
  <c r="U43" i="43" s="1"/>
  <c r="AE11" i="6"/>
  <c r="R43" i="43" s="1"/>
  <c r="AM12" i="6"/>
  <c r="W44" i="43" s="1"/>
  <c r="AN12" i="6"/>
  <c r="X44" i="43" s="1"/>
  <c r="AO12" i="6"/>
  <c r="AL12" i="6"/>
  <c r="V44" i="43" s="1"/>
  <c r="L12" i="6"/>
  <c r="J44" i="43" s="1"/>
  <c r="AQ12" i="6"/>
  <c r="M12" i="6"/>
  <c r="K44" i="43" s="1"/>
  <c r="AU12" i="6"/>
  <c r="C44" i="43" s="1"/>
  <c r="I12" i="6"/>
  <c r="AS12" i="6"/>
  <c r="AR12" i="6"/>
  <c r="E44" i="43" s="1"/>
  <c r="AY63" i="35"/>
  <c r="B44" i="43"/>
  <c r="K12" i="6"/>
  <c r="I44" i="43" s="1"/>
  <c r="L3" i="6"/>
  <c r="H3" i="6"/>
  <c r="AU3" i="6"/>
  <c r="C35" i="43" s="1"/>
  <c r="G3" i="6"/>
  <c r="AM3" i="6"/>
  <c r="W35" i="43" s="1"/>
  <c r="I3" i="6"/>
  <c r="J3" i="6"/>
  <c r="G45" i="43" l="1"/>
  <c r="R96" i="35"/>
  <c r="M95" i="35"/>
  <c r="Y4" i="6"/>
  <c r="J36" i="43"/>
  <c r="AB4" i="6"/>
  <c r="AW64" i="35"/>
  <c r="K4" i="6" s="1"/>
  <c r="BB64" i="35"/>
  <c r="H36" i="43"/>
  <c r="Z4" i="6"/>
  <c r="M4" i="6"/>
  <c r="K36" i="43" s="1"/>
  <c r="AS4" i="6"/>
  <c r="H35" i="43"/>
  <c r="Z3" i="6"/>
  <c r="AR3" i="6"/>
  <c r="Y3" i="6"/>
  <c r="AO3" i="6"/>
  <c r="AQ3" i="6" s="1"/>
  <c r="J35" i="43"/>
  <c r="AB3" i="6"/>
  <c r="M3" i="6"/>
  <c r="K35" i="43" s="1"/>
  <c r="AW63" i="35"/>
  <c r="K3" i="6" s="1"/>
  <c r="BB63" i="35"/>
  <c r="BD63" i="35" s="1"/>
  <c r="AL3" i="6" s="1"/>
  <c r="P95" i="35"/>
  <c r="AW62" i="35"/>
  <c r="K2" i="6" s="1"/>
  <c r="AA2" i="6" s="1"/>
  <c r="AZ64" i="35"/>
  <c r="BA64" i="35" s="1"/>
  <c r="P96" i="35"/>
  <c r="R95" i="35"/>
  <c r="L95" i="35"/>
  <c r="G42" i="43"/>
  <c r="AO2" i="6"/>
  <c r="AQ2" i="6" s="1"/>
  <c r="AZ62" i="35"/>
  <c r="BC62" i="35" s="1"/>
  <c r="J34" i="43"/>
  <c r="AB2" i="6"/>
  <c r="N2" i="6"/>
  <c r="O2" i="6" s="1"/>
  <c r="Y2" i="6"/>
  <c r="J2" i="6"/>
  <c r="G34" i="43"/>
  <c r="L8" i="6"/>
  <c r="AM8" i="6"/>
  <c r="W40" i="43" s="1"/>
  <c r="AU8" i="6"/>
  <c r="C40" i="43" s="1"/>
  <c r="AL8" i="6"/>
  <c r="V40" i="43" s="1"/>
  <c r="AO8" i="6"/>
  <c r="AQ8" i="6" s="1"/>
  <c r="K8" i="6"/>
  <c r="I8" i="6"/>
  <c r="J8" i="6"/>
  <c r="N4" i="6"/>
  <c r="P4" i="6" s="1"/>
  <c r="G36" i="43"/>
  <c r="BC63" i="35"/>
  <c r="K11" i="6"/>
  <c r="I43" i="43" s="1"/>
  <c r="B43" i="43"/>
  <c r="AM11" i="6"/>
  <c r="W43" i="43" s="1"/>
  <c r="AO11" i="6"/>
  <c r="AN11" i="6"/>
  <c r="X43" i="43" s="1"/>
  <c r="M11" i="6"/>
  <c r="K43" i="43" s="1"/>
  <c r="AU11" i="6"/>
  <c r="C43" i="43" s="1"/>
  <c r="AQ11" i="6"/>
  <c r="AL11" i="6"/>
  <c r="V43" i="43" s="1"/>
  <c r="I11" i="6"/>
  <c r="AR11" i="6"/>
  <c r="E43" i="43" s="1"/>
  <c r="AS11" i="6"/>
  <c r="L11" i="6"/>
  <c r="J43" i="43" s="1"/>
  <c r="G44" i="43"/>
  <c r="N12" i="6"/>
  <c r="J11" i="6"/>
  <c r="H43" i="43" s="1"/>
  <c r="P11" i="6"/>
  <c r="G35" i="43"/>
  <c r="N3" i="6"/>
  <c r="O3" i="6" s="1"/>
  <c r="BD64" i="35" l="1"/>
  <c r="AL4" i="6" s="1"/>
  <c r="V36" i="43" s="1"/>
  <c r="M36" i="43"/>
  <c r="AE4" i="6"/>
  <c r="AC4" i="6"/>
  <c r="P36" i="43" s="1"/>
  <c r="O4" i="6"/>
  <c r="AN4" i="6"/>
  <c r="X36" i="43" s="1"/>
  <c r="I36" i="43"/>
  <c r="AA4" i="6"/>
  <c r="L36" i="43"/>
  <c r="AD4" i="6"/>
  <c r="Q36" i="43" s="1"/>
  <c r="O36" i="43"/>
  <c r="AG4" i="6"/>
  <c r="T36" i="43" s="1"/>
  <c r="E35" i="43"/>
  <c r="AS3" i="6"/>
  <c r="V35" i="43"/>
  <c r="AN3" i="6"/>
  <c r="X35" i="43" s="1"/>
  <c r="P3" i="6"/>
  <c r="L35" i="43"/>
  <c r="AD3" i="6"/>
  <c r="Q35" i="43" s="1"/>
  <c r="M35" i="43"/>
  <c r="AE3" i="6"/>
  <c r="AC3" i="6"/>
  <c r="P35" i="43" s="1"/>
  <c r="I35" i="43"/>
  <c r="AA3" i="6"/>
  <c r="O35" i="43"/>
  <c r="AG3" i="6"/>
  <c r="T35" i="43" s="1"/>
  <c r="I34" i="43"/>
  <c r="BC64" i="35"/>
  <c r="M8" i="6"/>
  <c r="K40" i="43" s="1"/>
  <c r="BA62" i="35"/>
  <c r="BD62" i="35" s="1"/>
  <c r="AL2" i="6" s="1"/>
  <c r="AN2" i="6" s="1"/>
  <c r="X34" i="43" s="1"/>
  <c r="I40" i="43"/>
  <c r="AA8" i="6"/>
  <c r="AN8" i="6"/>
  <c r="X40" i="43" s="1"/>
  <c r="Y8" i="6"/>
  <c r="H40" i="43"/>
  <c r="Z8" i="6"/>
  <c r="J40" i="43"/>
  <c r="AB8" i="6"/>
  <c r="L34" i="43"/>
  <c r="AD2" i="6"/>
  <c r="Q34" i="43" s="1"/>
  <c r="H34" i="43"/>
  <c r="Z2" i="6"/>
  <c r="P2" i="6"/>
  <c r="M2" i="6"/>
  <c r="K34" i="43" s="1"/>
  <c r="N34" i="43"/>
  <c r="AF2" i="6"/>
  <c r="S34" i="43" s="1"/>
  <c r="O34" i="43"/>
  <c r="AG2" i="6"/>
  <c r="T34" i="43" s="1"/>
  <c r="G40" i="43"/>
  <c r="N8" i="6"/>
  <c r="O8" i="6" s="1"/>
  <c r="N11" i="6"/>
  <c r="G43" i="43"/>
  <c r="N36" i="43" l="1"/>
  <c r="AF4" i="6"/>
  <c r="S36" i="43" s="1"/>
  <c r="R36" i="43"/>
  <c r="AH4" i="6"/>
  <c r="U36" i="43" s="1"/>
  <c r="N35" i="43"/>
  <c r="AF3" i="6"/>
  <c r="S35" i="43" s="1"/>
  <c r="R35" i="43"/>
  <c r="AH3" i="6"/>
  <c r="U35" i="43" s="1"/>
  <c r="V34" i="43"/>
  <c r="L40" i="43"/>
  <c r="AD8" i="6"/>
  <c r="Q40" i="43" s="1"/>
  <c r="M40" i="43"/>
  <c r="AC8" i="6"/>
  <c r="P40" i="43" s="1"/>
  <c r="AE8" i="6"/>
  <c r="P8" i="6"/>
  <c r="N40" i="43"/>
  <c r="AF8" i="6"/>
  <c r="S40" i="43" s="1"/>
  <c r="O40" i="43"/>
  <c r="AG8" i="6"/>
  <c r="T40" i="43" s="1"/>
  <c r="M34" i="43"/>
  <c r="AC2" i="6"/>
  <c r="P34" i="43" s="1"/>
  <c r="AE2" i="6"/>
  <c r="U93" i="35" l="1"/>
  <c r="U96" i="35" s="1"/>
  <c r="D105" i="35" s="1"/>
  <c r="R40" i="43"/>
  <c r="AH8" i="6"/>
  <c r="U40" i="43" s="1"/>
  <c r="R34" i="43"/>
  <c r="AH2" i="6"/>
  <c r="U34" i="43" s="1"/>
  <c r="D142" i="35" l="1"/>
  <c r="J165" i="50" s="1"/>
  <c r="D104" i="35"/>
  <c r="D103" i="35"/>
  <c r="D135" i="35"/>
  <c r="J147" i="50" s="1"/>
  <c r="B53" i="34" s="1"/>
  <c r="K85" i="50"/>
  <c r="K163" i="50"/>
  <c r="K145" i="50"/>
  <c r="D124" i="35"/>
  <c r="D123" i="35"/>
  <c r="D122" i="35"/>
  <c r="D121" i="35"/>
  <c r="D120" i="35"/>
  <c r="K106" i="50"/>
  <c r="D114" i="35"/>
  <c r="J87" i="50" s="1"/>
  <c r="AR8" i="6" s="1"/>
  <c r="E40" i="43" s="1"/>
  <c r="K47" i="50"/>
  <c r="J107" i="50" l="1"/>
  <c r="AS8" i="6"/>
  <c r="J48" i="50"/>
  <c r="AO4" i="6"/>
  <c r="AQ4" i="6" s="1"/>
  <c r="AR2" i="6"/>
  <c r="E34" i="43" s="1"/>
  <c r="D181" i="50" l="1"/>
  <c r="K36" i="45"/>
  <c r="C12" i="53"/>
  <c r="AS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tc={12B74D5C-0962-4357-88DE-BFB48FE6A503}</author>
  </authors>
  <commentList>
    <comment ref="A1" authorId="0" shapeId="0" xr:uid="{12B74D5C-0962-4357-88DE-BFB48FE6A503}">
      <text>
        <t>[Threaded comment]
Your version of Excel allows you to read this threaded comment; however, any edits to it will get removed if the file is opened in a newer version of Excel. Learn more: https://go.microsoft.com/fwlink/?linkid=870924
Comment:
    Do we want to keep this?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tc={B6CAE899-28A6-42A0-857E-E6829BB8C4E2}</author>
    <author>tc={D097C49E-E7E8-4D8C-9254-087D41D7AC20}</author>
    <author>Rush, Meaghan C (US)</author>
    <author>Dean, Evelyn (US)</author>
    <author>Molloy, Keith</author>
  </authors>
  <commentList>
    <comment ref="Z90" authorId="0" shapeId="0" xr:uid="{B6CAE899-28A6-42A0-857E-E6829BB8C4E2}">
      <text>
        <t>[Threaded comment]
Your version of Excel allows you to read this threaded comment; however, any edits to it will get removed if the file is opened in a newer version of Excel. Learn more: https://go.microsoft.com/fwlink/?linkid=870924
Comment:
    If no difference is specified in TRM assume = attic</t>
      </text>
    </comment>
    <comment ref="Z91" authorId="1" shapeId="0" xr:uid="{D097C49E-E7E8-4D8C-9254-087D41D7AC20}">
      <text>
        <t>[Threaded comment]
Your version of Excel allows you to read this threaded comment; however, any edits to it will get removed if the file is opened in a newer version of Excel. Learn more: https://go.microsoft.com/fwlink/?linkid=870924
Comment:
    Per Steve W.-Crawl spaces will be have to be vented if unconditioned</t>
      </text>
    </comment>
    <comment ref="AP126" authorId="2" shapeId="0" xr:uid="{7A8A1EB0-591C-49D8-8819-B14A70FEE625}">
      <text>
        <r>
          <rPr>
            <b/>
            <sz val="9"/>
            <color indexed="81"/>
            <rFont val="Tahoma"/>
            <family val="2"/>
          </rPr>
          <t>Rush, Meaghan C (US):</t>
        </r>
        <r>
          <rPr>
            <sz val="9"/>
            <color indexed="81"/>
            <rFont val="Tahoma"/>
            <family val="2"/>
          </rPr>
          <t xml:space="preserve">
For Winter kW calcs
</t>
        </r>
      </text>
    </comment>
    <comment ref="AN129" authorId="3" shapeId="0" xr:uid="{F9EDF38B-8244-44D4-8D26-BA01175B2051}">
      <text>
        <r>
          <rPr>
            <b/>
            <sz val="9"/>
            <color indexed="81"/>
            <rFont val="Tahoma"/>
            <family val="2"/>
          </rPr>
          <t>Dean, Evelyn (US):</t>
        </r>
        <r>
          <rPr>
            <sz val="9"/>
            <color indexed="81"/>
            <rFont val="Tahoma"/>
            <family val="2"/>
          </rPr>
          <t xml:space="preserve">
Wall Insulation and Ceiling Insulation Tables are from NYS TRM V7 and use NYC Data</t>
        </r>
      </text>
    </comment>
    <comment ref="R429" authorId="4" shapeId="0" xr:uid="{00000000-0006-0000-0900-000002000000}">
      <text>
        <r>
          <rPr>
            <b/>
            <sz val="9"/>
            <color indexed="81"/>
            <rFont val="Tahoma"/>
            <family val="2"/>
          </rPr>
          <t>Molloy, Keith:</t>
        </r>
        <r>
          <rPr>
            <sz val="9"/>
            <color indexed="81"/>
            <rFont val="Tahoma"/>
            <family val="2"/>
          </rPr>
          <t xml:space="preserve">
eGRID subregion annual CO2 non-baseload output emission rate (lb/MWh), NPCC Long Island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Rush, Meaghan C (US)</author>
    <author>Molloy, Keith</author>
  </authors>
  <commentList>
    <comment ref="I1" authorId="0" shapeId="0" xr:uid="{00000000-0006-0000-0A00-000004000000}">
      <text>
        <r>
          <rPr>
            <b/>
            <sz val="9"/>
            <color indexed="81"/>
            <rFont val="Tahoma"/>
            <family val="2"/>
          </rPr>
          <t>Rush, Meaghan C (US):</t>
        </r>
        <r>
          <rPr>
            <sz val="9"/>
            <color indexed="81"/>
            <rFont val="Tahoma"/>
            <family val="2"/>
          </rPr>
          <t xml:space="preserve">
Was Gross</t>
        </r>
      </text>
    </comment>
    <comment ref="J1" authorId="0" shapeId="0" xr:uid="{2D588026-BCDE-4B91-8FE6-10D642D81B6C}">
      <text>
        <r>
          <rPr>
            <b/>
            <sz val="9"/>
            <color indexed="81"/>
            <rFont val="Tahoma"/>
            <family val="2"/>
          </rPr>
          <t>Rush, Meaghan C (US):</t>
        </r>
        <r>
          <rPr>
            <sz val="9"/>
            <color indexed="81"/>
            <rFont val="Tahoma"/>
            <family val="2"/>
          </rPr>
          <t xml:space="preserve">
change to old name. will have new name in Captures</t>
        </r>
      </text>
    </comment>
    <comment ref="K1" authorId="0" shapeId="0" xr:uid="{4DECA2BF-C70E-4A5F-BDED-8A1E024AAF0B}">
      <text>
        <r>
          <rPr>
            <b/>
            <sz val="9"/>
            <color indexed="81"/>
            <rFont val="Tahoma"/>
            <family val="2"/>
          </rPr>
          <t>Rush, Meaghan C (US):</t>
        </r>
        <r>
          <rPr>
            <sz val="9"/>
            <color indexed="81"/>
            <rFont val="Tahoma"/>
            <family val="2"/>
          </rPr>
          <t xml:space="preserve">
Not sure how to capture BE for Samrt thermostats yet
</t>
        </r>
      </text>
    </comment>
    <comment ref="O1" authorId="0" shapeId="0" xr:uid="{00000000-0006-0000-0A00-000005000000}">
      <text>
        <r>
          <rPr>
            <b/>
            <sz val="9"/>
            <color indexed="81"/>
            <rFont val="Tahoma"/>
            <family val="2"/>
          </rPr>
          <t>Rush, Meaghan C (US):</t>
        </r>
        <r>
          <rPr>
            <sz val="9"/>
            <color indexed="81"/>
            <rFont val="Tahoma"/>
            <family val="2"/>
          </rPr>
          <t xml:space="preserve">
Was Utility Gross</t>
        </r>
      </text>
    </comment>
    <comment ref="Y1" authorId="0" shapeId="0" xr:uid="{00000000-0006-0000-0A00-000006000000}">
      <text>
        <r>
          <rPr>
            <b/>
            <sz val="9"/>
            <color indexed="81"/>
            <rFont val="Tahoma"/>
            <family val="2"/>
          </rPr>
          <t>Rush, Meaghan C (US):</t>
        </r>
        <r>
          <rPr>
            <sz val="9"/>
            <color indexed="81"/>
            <rFont val="Tahoma"/>
            <family val="2"/>
          </rPr>
          <t xml:space="preserve">
Was Net </t>
        </r>
      </text>
    </comment>
    <comment ref="AD1" authorId="0" shapeId="0" xr:uid="{00000000-0006-0000-0A00-000007000000}">
      <text>
        <r>
          <rPr>
            <b/>
            <sz val="9"/>
            <color indexed="81"/>
            <rFont val="Tahoma"/>
            <family val="2"/>
          </rPr>
          <t>Rush, Meaghan C (US):</t>
        </r>
        <r>
          <rPr>
            <sz val="9"/>
            <color indexed="81"/>
            <rFont val="Tahoma"/>
            <family val="2"/>
          </rPr>
          <t xml:space="preserve">
Was Total Net</t>
        </r>
      </text>
    </comment>
    <comment ref="BY1" authorId="0" shapeId="0" xr:uid="{00000000-0006-0000-0A00-000001000000}">
      <text>
        <r>
          <rPr>
            <b/>
            <sz val="9"/>
            <color indexed="81"/>
            <rFont val="Tahoma"/>
            <family val="2"/>
          </rPr>
          <t>Rush, Meaghan C (US):</t>
        </r>
        <r>
          <rPr>
            <sz val="9"/>
            <color indexed="81"/>
            <rFont val="Tahoma"/>
            <family val="2"/>
          </rPr>
          <t xml:space="preserve">
Depending on the other worksheets
This or "Tons" should be changed</t>
        </r>
      </text>
    </comment>
    <comment ref="CA1" authorId="0" shapeId="0" xr:uid="{00000000-0006-0000-0A00-000008000000}">
      <text>
        <r>
          <rPr>
            <b/>
            <sz val="9"/>
            <color indexed="81"/>
            <rFont val="Tahoma"/>
            <family val="2"/>
          </rPr>
          <t>Rush, Meaghan C (US):</t>
        </r>
        <r>
          <rPr>
            <sz val="9"/>
            <color indexed="81"/>
            <rFont val="Tahoma"/>
            <family val="2"/>
          </rPr>
          <t xml:space="preserve">
Was Manual J</t>
        </r>
      </text>
    </comment>
    <comment ref="CM1" authorId="1" shapeId="0" xr:uid="{00000000-0006-0000-0A00-000002000000}">
      <text>
        <r>
          <rPr>
            <b/>
            <sz val="9"/>
            <color indexed="81"/>
            <rFont val="Tahoma"/>
            <family val="2"/>
          </rPr>
          <t>Molloy, Keith:</t>
        </r>
        <r>
          <rPr>
            <sz val="9"/>
            <color indexed="81"/>
            <rFont val="Tahoma"/>
            <family val="2"/>
          </rPr>
          <t xml:space="preserve">
Remove kW RS Savings based on 2019 Planning Tool</t>
        </r>
      </text>
    </comment>
    <comment ref="CP1" authorId="1" shapeId="0" xr:uid="{00000000-0006-0000-0A00-000003000000}">
      <text>
        <r>
          <rPr>
            <b/>
            <sz val="9"/>
            <color indexed="81"/>
            <rFont val="Tahoma"/>
            <family val="2"/>
          </rPr>
          <t>Molloy, Keith:</t>
        </r>
        <r>
          <rPr>
            <sz val="9"/>
            <color indexed="81"/>
            <rFont val="Tahoma"/>
            <family val="2"/>
          </rPr>
          <t xml:space="preserve">
Remove kW RS Savings based on 2019 Planning Tool</t>
        </r>
      </text>
    </comment>
    <comment ref="DH1" authorId="0" shapeId="0" xr:uid="{2F6C77E0-5CB6-4294-9BB5-343A21A2202D}">
      <text>
        <r>
          <rPr>
            <b/>
            <sz val="9"/>
            <color indexed="81"/>
            <rFont val="Tahoma"/>
            <family val="2"/>
          </rPr>
          <t>Rush, Meaghan C (US):</t>
        </r>
        <r>
          <rPr>
            <sz val="9"/>
            <color indexed="81"/>
            <rFont val="Tahoma"/>
            <family val="2"/>
          </rPr>
          <t xml:space="preserve">
Standard calls "kWbaseline". Change to match Refrigeration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Evelyn Dean</author>
  </authors>
  <commentList>
    <comment ref="AU27" authorId="0" shapeId="0" xr:uid="{00000000-0006-0000-0900-000005000000}">
      <text>
        <r>
          <rPr>
            <b/>
            <sz val="9"/>
            <color indexed="81"/>
            <rFont val="Tahoma"/>
            <family val="2"/>
          </rPr>
          <t>Evelyn Dean:</t>
        </r>
        <r>
          <rPr>
            <sz val="9"/>
            <color indexed="81"/>
            <rFont val="Tahoma"/>
            <family val="2"/>
          </rPr>
          <t xml:space="preserve">
Evelyn Dean:
Remove kW RS Savings based on 2019 Planning Tool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Rush, Meaghan C (US)</author>
    <author>Rush, Meaghan</author>
  </authors>
  <commentList>
    <comment ref="B174" authorId="0" shapeId="0" xr:uid="{8D97D6DA-BF66-4E5B-9DA9-D11B25522177}">
      <text>
        <r>
          <rPr>
            <b/>
            <sz val="9"/>
            <color indexed="81"/>
            <rFont val="Tahoma"/>
            <family val="2"/>
          </rPr>
          <t>Rush, Meaghan C (US):</t>
        </r>
        <r>
          <rPr>
            <sz val="9"/>
            <color indexed="81"/>
            <rFont val="Tahoma"/>
            <family val="2"/>
          </rPr>
          <t xml:space="preserve">
Please view this other application for development tab on to see progress to this point.</t>
        </r>
      </text>
    </comment>
    <comment ref="B211" authorId="0" shapeId="0" xr:uid="{0AC1D8FC-75C1-4AE4-AF54-9DF243CB935B}">
      <text>
        <r>
          <rPr>
            <b/>
            <sz val="9"/>
            <color indexed="81"/>
            <rFont val="Tahoma"/>
            <family val="2"/>
          </rPr>
          <t>Rush, Meaghan C (US):</t>
        </r>
        <r>
          <rPr>
            <sz val="9"/>
            <color indexed="81"/>
            <rFont val="Tahoma"/>
            <family val="2"/>
          </rPr>
          <t xml:space="preserve">
Data validation to be updated
</t>
        </r>
      </text>
    </comment>
    <comment ref="B573" authorId="1" shapeId="0" xr:uid="{851C8ACC-6BF1-493B-9C65-C1BF5093DEC5}">
      <text>
        <r>
          <rPr>
            <b/>
            <sz val="9"/>
            <color indexed="81"/>
            <rFont val="Tahoma"/>
            <family val="2"/>
          </rPr>
          <t>Rush, Meaghan:</t>
        </r>
        <r>
          <rPr>
            <sz val="9"/>
            <color indexed="81"/>
            <rFont val="Tahoma"/>
            <family val="2"/>
          </rPr>
          <t xml:space="preserve">
Discussion with Tech Support assumed run hours should be % of the total daily hours of operations for the facility</t>
        </r>
      </text>
    </comment>
  </commentList>
</comments>
</file>

<file path=xl/sharedStrings.xml><?xml version="1.0" encoding="utf-8"?>
<sst xmlns="http://schemas.openxmlformats.org/spreadsheetml/2006/main" count="6594" uniqueCount="2654">
  <si>
    <t>City:</t>
  </si>
  <si>
    <t>Zip:</t>
  </si>
  <si>
    <t>Business Phone:</t>
  </si>
  <si>
    <t>Contact Name/Title:</t>
  </si>
  <si>
    <t>E-Mail Address:</t>
  </si>
  <si>
    <t>Fax:</t>
  </si>
  <si>
    <t>Contractor Information</t>
  </si>
  <si>
    <t>Contractor Name:</t>
  </si>
  <si>
    <t>Contractor Address:</t>
  </si>
  <si>
    <t>Date:</t>
  </si>
  <si>
    <t>Customer Name:</t>
  </si>
  <si>
    <t>Contractor Signature:</t>
  </si>
  <si>
    <t>SEER</t>
  </si>
  <si>
    <t>EER</t>
  </si>
  <si>
    <t>HSPF</t>
  </si>
  <si>
    <t>YES</t>
  </si>
  <si>
    <t>NO</t>
  </si>
  <si>
    <t>Efficiency Requirements</t>
  </si>
  <si>
    <t>Eligible Equipment</t>
  </si>
  <si>
    <t>1.</t>
  </si>
  <si>
    <t>2.</t>
  </si>
  <si>
    <t>3.</t>
  </si>
  <si>
    <t>4.</t>
  </si>
  <si>
    <t>5.</t>
  </si>
  <si>
    <t>6.</t>
  </si>
  <si>
    <t>Instructions:</t>
  </si>
  <si>
    <t>Ducts Tested?</t>
  </si>
  <si>
    <t>Ducts Sealed?</t>
  </si>
  <si>
    <t>Tier I SEER</t>
  </si>
  <si>
    <t>Tier I</t>
  </si>
  <si>
    <t>Tier II</t>
  </si>
  <si>
    <t>*</t>
  </si>
  <si>
    <t>Class Name</t>
  </si>
  <si>
    <t>Product Line</t>
  </si>
  <si>
    <t>Product Name</t>
  </si>
  <si>
    <t>BaseLine Row_ID</t>
  </si>
  <si>
    <t>Baseline EER</t>
  </si>
  <si>
    <t>Baseline SEER</t>
  </si>
  <si>
    <t>Elec Util Cust Incentive</t>
  </si>
  <si>
    <t>Full Load Hours Cool</t>
  </si>
  <si>
    <t>Baseline HSPF</t>
  </si>
  <si>
    <t>Full Load Hours Heat</t>
  </si>
  <si>
    <t>n/a</t>
  </si>
  <si>
    <t>Yes_No</t>
  </si>
  <si>
    <t>Installations must have visible and accessible ports for airflow and temperature measurements. Ports must be sealed with contrasting color plugs. Please indicate</t>
  </si>
  <si>
    <t>location of test ports:</t>
  </si>
  <si>
    <t>Copy of table or graph supplied by manufacturer and used to estimate airflow must be attached to this form.</t>
  </si>
  <si>
    <t xml:space="preserve">Notes: </t>
  </si>
  <si>
    <t>Airflow</t>
  </si>
  <si>
    <t>Refrigerant Type:</t>
  </si>
  <si>
    <t>(specify)</t>
  </si>
  <si>
    <t>Existing Equipment</t>
  </si>
  <si>
    <t>kW RS</t>
  </si>
  <si>
    <t>kW C&amp;A</t>
  </si>
  <si>
    <t>kWh</t>
  </si>
  <si>
    <t>Model Number</t>
  </si>
  <si>
    <t>Serial Number</t>
  </si>
  <si>
    <t>Manufacturer</t>
  </si>
  <si>
    <t>Does this capacity include an allowance for an evaporator ?</t>
  </si>
  <si>
    <t>Does this capacity include an allowance for a line set?</t>
  </si>
  <si>
    <t>feet</t>
  </si>
  <si>
    <t>(A) Suction Line Outside Diameter</t>
  </si>
  <si>
    <t>inches</t>
  </si>
  <si>
    <t>Net length*</t>
  </si>
  <si>
    <t>x</t>
  </si>
  <si>
    <t>ounces/foot</t>
  </si>
  <si>
    <t>=</t>
  </si>
  <si>
    <t>ounces</t>
  </si>
  <si>
    <t>*Net Length = Measured Length Minus (-) Allowed Length</t>
  </si>
  <si>
    <t>Total charge weighed in (A) + (B) + (C)</t>
  </si>
  <si>
    <t>Note: Copy of table or graph supplied by manufacturer and used to estimate charge must be attached to this form.</t>
  </si>
  <si>
    <t>Inputs</t>
  </si>
  <si>
    <t>Refrigerant Type</t>
  </si>
  <si>
    <t>Charging Method Used:</t>
  </si>
  <si>
    <t>Manufacturer Specified Superheat</t>
  </si>
  <si>
    <t>Indoor Wet Bulb Temperature</t>
  </si>
  <si>
    <t>Outdoor Dry Bulb Temperature</t>
  </si>
  <si>
    <t>°F</t>
  </si>
  <si>
    <t>Measurements</t>
  </si>
  <si>
    <t>Vapor (suction) pressure</t>
  </si>
  <si>
    <t>(D) Saturation temperature for measured pressure</t>
  </si>
  <si>
    <t>(E) Vapor (suction) line temperature near compressor</t>
  </si>
  <si>
    <t>psig</t>
  </si>
  <si>
    <t>*Measured Superheat (E minus D)</t>
  </si>
  <si>
    <t>*Measured Superheat must be within 5°F of the manufacturer specified Superheat.</t>
  </si>
  <si>
    <t>Note: A copy of the documentation of the manufacturer's specified superheat for the installed equipment must be attached to this form.</t>
  </si>
  <si>
    <t>Required Subcooling:</t>
  </si>
  <si>
    <t>Outdoor Dry Bulb Temperature:</t>
  </si>
  <si>
    <t>Liquid Line Pressure</t>
  </si>
  <si>
    <t>(F) Saturation temperature for measured pressure</t>
  </si>
  <si>
    <t>(G) Liquid Line temperature</t>
  </si>
  <si>
    <t>*Measured Subcooling (F minus G)</t>
  </si>
  <si>
    <t>*Measured Subcooling must be within 3°F of the manufacturer specified Subcooling.</t>
  </si>
  <si>
    <t>Note: A copy of the documentation of the manufacturer's specified subcooling for the installed equipment must be attached to this form</t>
  </si>
  <si>
    <t>7.</t>
  </si>
  <si>
    <t>8.</t>
  </si>
  <si>
    <t>9.</t>
  </si>
  <si>
    <t>10.</t>
  </si>
  <si>
    <t>11.</t>
  </si>
  <si>
    <t>12.</t>
  </si>
  <si>
    <t>Post Installation/Airflow &amp; Refrigerant Charge Form</t>
  </si>
  <si>
    <t>For Ducted Systems Only</t>
  </si>
  <si>
    <t>Equipment Data</t>
  </si>
  <si>
    <t>Model No.</t>
  </si>
  <si>
    <t xml:space="preserve">Unit Number: </t>
  </si>
  <si>
    <t>Application ID</t>
  </si>
  <si>
    <t xml:space="preserve">Customer Verification Statement: </t>
  </si>
  <si>
    <t>Customer Name:
(Print)</t>
  </si>
  <si>
    <t>Customer Signature:</t>
  </si>
  <si>
    <t>Geothermal Loop Type</t>
  </si>
  <si>
    <t>QI kW RS Factor</t>
  </si>
  <si>
    <t>QI kWh Factor</t>
  </si>
  <si>
    <t>Exist Model</t>
  </si>
  <si>
    <t>Pass/Fail</t>
  </si>
  <si>
    <t>Product Quantity</t>
  </si>
  <si>
    <t>Exist Mfr</t>
  </si>
  <si>
    <t>QI kW C and A</t>
  </si>
  <si>
    <t>QI kW RS</t>
  </si>
  <si>
    <t>QI kWh</t>
  </si>
  <si>
    <t>QI Savings Calculations</t>
  </si>
  <si>
    <t>Condenser Manufacturer</t>
  </si>
  <si>
    <t>Condenser Model</t>
  </si>
  <si>
    <t>Condenser Serial#</t>
  </si>
  <si>
    <t>Coil/Air Handler Manufacturer</t>
  </si>
  <si>
    <t>Coil/Air Handler Model</t>
  </si>
  <si>
    <t>Coil/Air Handler Serial#</t>
  </si>
  <si>
    <t>Manual J btu Range</t>
  </si>
  <si>
    <t xml:space="preserve">       Project Completion Form</t>
  </si>
  <si>
    <t>Use this form to self certify project completion</t>
  </si>
  <si>
    <t>Customer Information</t>
  </si>
  <si>
    <t>Installation Information</t>
  </si>
  <si>
    <t>Installation Completion Date :</t>
  </si>
  <si>
    <t>Project Cost ( as reflected on invoice ) :</t>
  </si>
  <si>
    <t>Customer Payment:</t>
  </si>
  <si>
    <t>Contractor Verification Statement:</t>
  </si>
  <si>
    <t>Contractor Name:
(Print)</t>
  </si>
  <si>
    <t xml:space="preserve">Please send all required documents to </t>
  </si>
  <si>
    <t>Version Number</t>
  </si>
  <si>
    <t xml:space="preserve">Disclaimer: Terms and conditions are subject to change without notice, including early termination of this promotion. No additional fees apply. The rebate will be issued in the form of a check unless otherwise indicated. PSEG Long Island administers the rebate program on behalf of the Long Island Power Authority, the rebate program sponsor. Please visit www.psegliny.com/efficiency for more details. </t>
  </si>
  <si>
    <t>(must complete a Rebate Assignment Form / This option may not be offered by all Contractors)</t>
  </si>
  <si>
    <t xml:space="preserve"> Tier II</t>
  </si>
  <si>
    <t>Program Year</t>
  </si>
  <si>
    <t>(B) Liquid Line Outside Diameter</t>
  </si>
  <si>
    <t>I would like customer rebate: (check one)</t>
  </si>
  <si>
    <t>Row Number</t>
  </si>
  <si>
    <t>Measure Code</t>
  </si>
  <si>
    <t>Coincidence Factor</t>
  </si>
  <si>
    <t>Free Ridership</t>
  </si>
  <si>
    <t>Spillover</t>
  </si>
  <si>
    <t>Line Loss Summer Demand (kW)</t>
  </si>
  <si>
    <t>Line Loss Energy (kWh)</t>
  </si>
  <si>
    <t>Installation Address:</t>
  </si>
  <si>
    <r>
      <t xml:space="preserve">Mailing Address:
</t>
    </r>
    <r>
      <rPr>
        <b/>
        <sz val="9"/>
        <color indexed="8"/>
        <rFont val="Arial Narrow"/>
        <family val="2"/>
      </rPr>
      <t>(If different than above)</t>
    </r>
  </si>
  <si>
    <t>Home Phone:</t>
  </si>
  <si>
    <t>Alternate Contact:</t>
  </si>
  <si>
    <t>Cell Phone:</t>
  </si>
  <si>
    <t>Tax ID #:</t>
  </si>
  <si>
    <t>Rebate</t>
  </si>
  <si>
    <r>
      <t xml:space="preserve">Customer Name:
</t>
    </r>
    <r>
      <rPr>
        <b/>
        <i/>
        <sz val="10"/>
        <color indexed="8"/>
        <rFont val="Arial Narrow"/>
        <family val="2"/>
      </rPr>
      <t>(Print)</t>
    </r>
  </si>
  <si>
    <r>
      <t xml:space="preserve">Contractor Name
</t>
    </r>
    <r>
      <rPr>
        <b/>
        <i/>
        <sz val="10"/>
        <color indexed="8"/>
        <rFont val="Arial Narrow"/>
        <family val="2"/>
      </rPr>
      <t>(Print)</t>
    </r>
  </si>
  <si>
    <r>
      <t xml:space="preserve">Accepted and Agreed To Assignee:
</t>
    </r>
    <r>
      <rPr>
        <b/>
        <i/>
        <sz val="10"/>
        <color indexed="8"/>
        <rFont val="Arial Narrow"/>
        <family val="2"/>
      </rPr>
      <t>(Duly Authorized Representative Signature)</t>
    </r>
  </si>
  <si>
    <t>Document:</t>
  </si>
  <si>
    <t>Responsible Party</t>
  </si>
  <si>
    <t>Account No:</t>
  </si>
  <si>
    <t>Option 1: SUBCOOLING Notes: Typical for most Thermal Expansion Valve systems when outdoor temperature is greater than OEM spec. (Typ. 60°F)</t>
  </si>
  <si>
    <t>Application Version:</t>
  </si>
  <si>
    <t>Effective Date</t>
  </si>
  <si>
    <t>Effective:</t>
  </si>
  <si>
    <t>Application ID:</t>
  </si>
  <si>
    <r>
      <t xml:space="preserve">Mailing Address:
</t>
    </r>
    <r>
      <rPr>
        <b/>
        <sz val="9"/>
        <color indexed="8"/>
        <rFont val="Arial Narrow"/>
        <family val="2"/>
      </rPr>
      <t>(if different than above)</t>
    </r>
  </si>
  <si>
    <t>Date</t>
  </si>
  <si>
    <t>Description</t>
  </si>
  <si>
    <t>Initials</t>
  </si>
  <si>
    <t>Version</t>
  </si>
  <si>
    <t>Customer Incentive (per ton)</t>
  </si>
  <si>
    <t>Customer Incentive (per unit)</t>
  </si>
  <si>
    <r>
      <t xml:space="preserve">Accepted and Agreed To Payee:
</t>
    </r>
    <r>
      <rPr>
        <b/>
        <i/>
        <sz val="10"/>
        <color indexed="8"/>
        <rFont val="Arial Narrow"/>
        <family val="2"/>
      </rPr>
      <t>(Customer Signature)</t>
    </r>
  </si>
  <si>
    <t>Contractor Incentive</t>
  </si>
  <si>
    <t>Refrigerant Charge Method</t>
  </si>
  <si>
    <t>I, the Customer, certify that the equipment listed on the rebate application has been purchased and installed at the address indicated on the application.  I understand that PSEG Long Island reserves the right to verify any equipment purchases or installations which may include a site visit.  I further understand that PSEG Long Island may adjust the incentive amount before issuing the rebate based upon the verification and documentation provided by me or my Contractors responsible for the installation of the equipment.</t>
  </si>
  <si>
    <t>I, the Contractor, certify that the equipment listed on the rebate application has been purchased and installed at the address indicated on the application.  I understand that PSEG Long Island reserves the right to verify any equipment purchases or installations which may include a site visit.  I further understand that PSEG Long Island may adjust the incentive amount before issuing the rebate based upon the verification and documentation provided by me or my technicians responsible for the installation of the equipment.</t>
  </si>
  <si>
    <t>Workbook Name</t>
  </si>
  <si>
    <t>Address:</t>
  </si>
  <si>
    <t>Town:</t>
  </si>
  <si>
    <t>Phone:</t>
  </si>
  <si>
    <t>Inspector:</t>
  </si>
  <si>
    <t>Company:</t>
  </si>
  <si>
    <t>Contact Name:</t>
  </si>
  <si>
    <t>New Equipment Details</t>
  </si>
  <si>
    <t>Notes:</t>
  </si>
  <si>
    <t>(C) Driers, Accumulator, and Evaporator Capacities (if not included above):</t>
  </si>
  <si>
    <t>Performed By:</t>
  </si>
  <si>
    <t>COP/HSPF</t>
  </si>
  <si>
    <t xml:space="preserve">Contractor </t>
  </si>
  <si>
    <t xml:space="preserve">Customer </t>
  </si>
  <si>
    <t>Incentives</t>
  </si>
  <si>
    <t>Unit Number</t>
  </si>
  <si>
    <t>Tier Requirements</t>
  </si>
  <si>
    <t>Missing Info Lookups</t>
  </si>
  <si>
    <r>
      <t>Option 2: SUPERHEAT Note: Can only be used for fixed orifice systems (Non-TXV) when outdoor temperature is greater than OEM spec. (Type 55</t>
    </r>
    <r>
      <rPr>
        <b/>
        <sz val="11"/>
        <color indexed="9"/>
        <rFont val="Calibri"/>
        <family val="2"/>
      </rPr>
      <t>°)</t>
    </r>
  </si>
  <si>
    <t>Home Performance</t>
  </si>
  <si>
    <t>kW</t>
  </si>
  <si>
    <t>Smart Thermostat Rebate Amount:</t>
  </si>
  <si>
    <t>QIV</t>
  </si>
  <si>
    <t>EO</t>
  </si>
  <si>
    <t>Tier III</t>
  </si>
  <si>
    <t>Natural Gas</t>
  </si>
  <si>
    <t>Oil</t>
  </si>
  <si>
    <t>Propane</t>
  </si>
  <si>
    <t>Electric</t>
  </si>
  <si>
    <t>Heating Fuel Type</t>
  </si>
  <si>
    <t>Decimal Places</t>
  </si>
  <si>
    <t>Value</t>
  </si>
  <si>
    <t>Unit Controlled</t>
  </si>
  <si>
    <t>Primary Cooling</t>
  </si>
  <si>
    <t>Heating Type</t>
  </si>
  <si>
    <t>Other</t>
  </si>
  <si>
    <t>Customer Incentive</t>
  </si>
  <si>
    <t>Named Range</t>
  </si>
  <si>
    <t>Primary Heating</t>
  </si>
  <si>
    <t>PSEG Long Island's Residential Central Air Conditioning Program, Central Air Conditioners, Heat Pumps, Ductless Mini Split Systems.</t>
  </si>
  <si>
    <t>REBATE OPTION 2: Choose any Central Air Conditioning (CAC) Contractor</t>
  </si>
  <si>
    <t>Directions:</t>
  </si>
  <si>
    <r>
      <t xml:space="preserve">Customer hires a contractor (at least three estimates are </t>
    </r>
    <r>
      <rPr>
        <u/>
        <sz val="12"/>
        <color indexed="8"/>
        <rFont val="Arial Narrow"/>
        <family val="2"/>
      </rPr>
      <t>recommended</t>
    </r>
    <r>
      <rPr>
        <sz val="12"/>
        <color indexed="8"/>
        <rFont val="Arial Narrow"/>
        <family val="2"/>
      </rPr>
      <t xml:space="preserve"> prior to selection).</t>
    </r>
  </si>
  <si>
    <t>Customer has a qualifying system installed.</t>
  </si>
  <si>
    <t>If all required paperwork is correct and all rebate requirements are fulfilled, a rebate check will be sent to the customer.</t>
  </si>
  <si>
    <t>Required Documents Checklist:</t>
  </si>
  <si>
    <t>▪</t>
  </si>
  <si>
    <t>Customer name and installation address matching electric account holder information</t>
  </si>
  <si>
    <t>Equipment manufacturer</t>
  </si>
  <si>
    <t>Condenser model number and serial number</t>
  </si>
  <si>
    <t>Coil/Air Handler model number and serial number</t>
  </si>
  <si>
    <t>Total Cost</t>
  </si>
  <si>
    <t>Eligible Equipment Table:</t>
  </si>
  <si>
    <t>Rebate Requirements / Terms and Conditions:</t>
  </si>
  <si>
    <t>There must be a PSEG Long Island residential electric account at the installation site in the applicant’s name.</t>
  </si>
  <si>
    <t>Please allow up to 60 days for delivery of the rebate check.</t>
  </si>
  <si>
    <t>It is the customer’s responsibility to ensure contractor has proper licenses, certifications and insurance. Installation is to be properly permitted (or received authorization). Documents, including but not limited to, permits and surveys are to be provided upon request.</t>
  </si>
  <si>
    <t>Replacement of systems less than five years old, that were rebated, are not eligible for a rebate unless the SEER level of the
replacement unit is higher than the existing unit by at least one full SEER level.</t>
  </si>
  <si>
    <t>All units, including Ductless Mini Split Systems, must be installed with the matching pieces specified in the AHRI directory. These rebates apply to new and replacement total system installations performed during the term of this rebate program. The Condenser (outdoor), and Coil/ Air Handler (indoor) must be installed new and constitute one unit. Partial system replacements do not qualify.</t>
  </si>
  <si>
    <t>PSEG Long Island reserves the right to inspect the equipment installation to ensure compliance with program requirements.
Failure to allow PSEG Long Island access to the equipment will result in a denial of the rebate application.</t>
  </si>
  <si>
    <t>PSEG Long Island is not responsible for any tax liability imposed as a result of rebate payments.</t>
  </si>
  <si>
    <t>PSEG Long Island reserves the right to use the customer rebate to credit accounts in arrears.</t>
  </si>
  <si>
    <t>PSEG Long Island is not responsible for lost or undeliverable mail or email.</t>
  </si>
  <si>
    <t>Submit Signed Application Form and all Required Documents:</t>
  </si>
  <si>
    <t>By Email: Preferred method for timely processing - coolhomesli@pseg.com</t>
  </si>
  <si>
    <t>395 North Service Road, Suite 409, Melville, NY 11747</t>
  </si>
  <si>
    <t>Any Questions? Call PSEG Long Island's Infoline at 1-800-692-2626 or visit PSEG Long Island's website for more information at www.psegliny.com/efficiency</t>
  </si>
  <si>
    <t>Customer Information:</t>
  </si>
  <si>
    <t xml:space="preserve">Your PSEG Long Island Residential Account Number (found on the back of your bill): </t>
  </si>
  <si>
    <t>Your Name:</t>
  </si>
  <si>
    <t>E-Mail:</t>
  </si>
  <si>
    <t>Account/Installation Address:</t>
  </si>
  <si>
    <t>State:</t>
  </si>
  <si>
    <t>Home Telephone:</t>
  </si>
  <si>
    <t>Work Telephone:</t>
  </si>
  <si>
    <t>Mailing Address: (if different)</t>
  </si>
  <si>
    <t>Installation Contractor Name:</t>
  </si>
  <si>
    <t>Contractor Telephone:</t>
  </si>
  <si>
    <t>Installation Date:</t>
  </si>
  <si>
    <t>Product Information:</t>
  </si>
  <si>
    <t>Unit Number 1:</t>
  </si>
  <si>
    <t>New Equipment</t>
  </si>
  <si>
    <t>Manufacturer:</t>
  </si>
  <si>
    <t>AHRI Reference No:</t>
  </si>
  <si>
    <t>Condenser Model No. (outdoor):</t>
  </si>
  <si>
    <t>SEER Rating:</t>
  </si>
  <si>
    <t>Condenser Serial No. (outdoor):</t>
  </si>
  <si>
    <t>EER Rating:</t>
  </si>
  <si>
    <t>Coil/Air Handler Model No. (Indoor):</t>
  </si>
  <si>
    <t>HSPF Rating (Heat Pump Only):</t>
  </si>
  <si>
    <t>Coil/Air Handler Serial No. (Indoor):</t>
  </si>
  <si>
    <t>Tons:</t>
  </si>
  <si>
    <r>
      <t xml:space="preserve">Unit Number 2:
</t>
    </r>
    <r>
      <rPr>
        <i/>
        <sz val="10"/>
        <color indexed="8"/>
        <rFont val="Arial Narrow"/>
        <family val="2"/>
      </rPr>
      <t>(if applicable)</t>
    </r>
  </si>
  <si>
    <t>Total Rebate Amount Expected: $</t>
  </si>
  <si>
    <t>I certify that I purchased the unit(s) on the enclosed invoice and /or contract and that they were installed at the location indicated. I agree to the terms and conditions stated on this application (see rebate requirements).</t>
  </si>
  <si>
    <t>Customer's Signature:</t>
  </si>
  <si>
    <t>PSEG Long Island administrators the rebate program on behalf of the Long Island Power Authority, the rebate program sponsor. Please visit www.psegliny.com/efficiency for more details.</t>
  </si>
  <si>
    <t>Some ENERGY STAR® qualified equipment may not be eligible for this rebate. Qualifying units must be listed in the AHRI directory.</t>
  </si>
  <si>
    <t>By Mail: PSEG Long Island's Residential CAC Program</t>
  </si>
  <si>
    <t>If thermostat was installed during a Home Performance with ENERGY STAR project, please check the appropriate check box</t>
  </si>
  <si>
    <t>Logic</t>
  </si>
  <si>
    <t>https://enrollmythermostat.com/faqs/pseg-long-island-faq/</t>
  </si>
  <si>
    <t>Approved Thermostat</t>
  </si>
  <si>
    <t>Enter Manufacturer, Approved Thermostat, Model Number and Serial Number.</t>
  </si>
  <si>
    <t>True Flow CFM Measured</t>
  </si>
  <si>
    <t>CFM Air Flow Estimated</t>
  </si>
  <si>
    <t>Static Pressure Drop</t>
  </si>
  <si>
    <t>External Static Pressure</t>
  </si>
  <si>
    <t>Required Subcooling</t>
  </si>
  <si>
    <t>Outdoor Dry Bulb Temp</t>
  </si>
  <si>
    <t>Saturation Temp</t>
  </si>
  <si>
    <t>Liquid Line Temp</t>
  </si>
  <si>
    <t>Measured Subcooling</t>
  </si>
  <si>
    <t>Indoor Wet Bulb Temp</t>
  </si>
  <si>
    <t>Vapor Line Temp</t>
  </si>
  <si>
    <t>OR</t>
  </si>
  <si>
    <t>(from manufacturer service guide or as per manufacturer's specification or cut sheet)</t>
  </si>
  <si>
    <t xml:space="preserve">°F </t>
  </si>
  <si>
    <t>Please fill out all of the below fields as applicable for the installation</t>
  </si>
  <si>
    <t xml:space="preserve">In order to qualify for an incentive, Smart thermostats must be listed at. </t>
  </si>
  <si>
    <t>Heating Btuh</t>
  </si>
  <si>
    <t>PTHP</t>
  </si>
  <si>
    <t>Baseline</t>
  </si>
  <si>
    <t>Rate Code:</t>
  </si>
  <si>
    <t>Rebate Payment Method:</t>
  </si>
  <si>
    <t xml:space="preserve">Signature: </t>
  </si>
  <si>
    <t>Customer Signature:
Duly authorized representative</t>
  </si>
  <si>
    <t>For PSEG Long Island use only:</t>
  </si>
  <si>
    <t>New Equipment + Tier</t>
  </si>
  <si>
    <t xml:space="preserve">Cold Climate </t>
  </si>
  <si>
    <t>Lookup</t>
  </si>
  <si>
    <t>Conditional Formatting</t>
  </si>
  <si>
    <t>Baseline COP</t>
  </si>
  <si>
    <t>Cooling</t>
  </si>
  <si>
    <t>Heating</t>
  </si>
  <si>
    <t>Final</t>
  </si>
  <si>
    <t>Total Estimated Customer Rebate Amount (Calculated from Equipment Worksheet and Smart Thermostat Worksheet):</t>
  </si>
  <si>
    <t>Range</t>
  </si>
  <si>
    <t>Rated Cooling Capacity</t>
  </si>
  <si>
    <t>.1-.8</t>
  </si>
  <si>
    <t>CFM Per Ton</t>
  </si>
  <si>
    <t>325-450</t>
  </si>
  <si>
    <t>Air Flow Tab - Airflow Inputs</t>
  </si>
  <si>
    <t>6-14</t>
  </si>
  <si>
    <t>195-475</t>
  </si>
  <si>
    <t>71-130</t>
  </si>
  <si>
    <t>57-116</t>
  </si>
  <si>
    <t>Manufactured Spec Superheat</t>
  </si>
  <si>
    <t>5-30</t>
  </si>
  <si>
    <t>50-80</t>
  </si>
  <si>
    <t>110-160</t>
  </si>
  <si>
    <t>35-95</t>
  </si>
  <si>
    <t>40-90</t>
  </si>
  <si>
    <t>1. Rated Cooling Capacity (tons):</t>
  </si>
  <si>
    <t>2. Target Airflow Volume (CFM) PER TON:</t>
  </si>
  <si>
    <t>3a. Static pressure drop in inches of water column W.C. measures across evaporator coil if new installed:</t>
  </si>
  <si>
    <t>3b. External static pressure for fan coil unit:</t>
  </si>
  <si>
    <t>Complete field 3a OR field 3b</t>
  </si>
  <si>
    <t>*If this field contains data, leave True Flow CFM field below blank</t>
  </si>
  <si>
    <t>4. Total Static measured with:</t>
  </si>
  <si>
    <t>5. CFM Air Flow Estimated from Total Static Measurement:</t>
  </si>
  <si>
    <t>6. True Flow CFM measured:</t>
  </si>
  <si>
    <t>*If this field contains data, no data input is required for field 3a/3b and field 5</t>
  </si>
  <si>
    <t>Pass/Fail Check</t>
  </si>
  <si>
    <t>Vapor Pressure</t>
  </si>
  <si>
    <t xml:space="preserve">  </t>
  </si>
  <si>
    <t>.5-11.3</t>
  </si>
  <si>
    <t>4. Total static measured with:</t>
  </si>
  <si>
    <t>Air Flow Tab 2 - Airflow Inputs</t>
  </si>
  <si>
    <t>Air Flow Tab 3 - Airflow Inputs</t>
  </si>
  <si>
    <t>Complete field 3a or 3b</t>
  </si>
  <si>
    <t>4. Total Static measure with:</t>
  </si>
  <si>
    <t>If this field contains data, no data input is required for the True Flow CFM field below</t>
  </si>
  <si>
    <t>If this field contains data, no data input is required for field 3a/3b and field 5</t>
  </si>
  <si>
    <t>Air Flow Tab 4 - Airflow Inputs</t>
  </si>
  <si>
    <t>Air Flow Tab 5 - Airflow Inputs</t>
  </si>
  <si>
    <t>Air Flow Tab 6 - Airflow Inputs</t>
  </si>
  <si>
    <t>Air Flow Tab 7 - Airflow Inputs</t>
  </si>
  <si>
    <t>Air Flow Tab 8 - Airflow Inputs</t>
  </si>
  <si>
    <t>Air Flow Tab 9 - Airflow Inputs</t>
  </si>
  <si>
    <t>Air Flow Tab 10 - Airflow Inputs</t>
  </si>
  <si>
    <t>In Service Rate</t>
  </si>
  <si>
    <t>Electric Resistance</t>
  </si>
  <si>
    <t>Home Comfort Participating Contractors Assignment Form</t>
  </si>
  <si>
    <t>MT</t>
  </si>
  <si>
    <t>1.0_Draft 1.0</t>
  </si>
  <si>
    <t>5.8.19</t>
  </si>
  <si>
    <t>HomeComfortLI@pseg.com</t>
  </si>
  <si>
    <t>Contractor Incentive (per project)</t>
  </si>
  <si>
    <t>Tier II
SEER</t>
  </si>
  <si>
    <t>Tier I
New Construction</t>
  </si>
  <si>
    <t>Tier II
New Construction</t>
  </si>
  <si>
    <t>Smart thermostat incentives are limited to one thermostat per unit and cannot replace an existing Smart thermostat. Smart thermostat must control the installed unit in order to be eligible for an incentive.Thermostats must be installed by a QIV contractor or by a Home Performance with ENERGY STAR contractor.</t>
  </si>
  <si>
    <t>Tier I HSPF</t>
  </si>
  <si>
    <t>QI kW C and A Factord</t>
  </si>
  <si>
    <t>Cooling Manual J</t>
  </si>
  <si>
    <t>Heating Manual J</t>
  </si>
  <si>
    <t>Gross BE kWh</t>
  </si>
  <si>
    <t>Utility Gross BE kWh</t>
  </si>
  <si>
    <t>Net BE kWh</t>
  </si>
  <si>
    <t>Total Net BE kWh</t>
  </si>
  <si>
    <t>Total MMBTU Savings</t>
  </si>
  <si>
    <t>BE MMBTU Savings</t>
  </si>
  <si>
    <t>ConversionFactors</t>
  </si>
  <si>
    <t>lbs/metric ton</t>
  </si>
  <si>
    <t>kg/metric ton</t>
  </si>
  <si>
    <t>Basic References</t>
  </si>
  <si>
    <t>Displacement Factor</t>
  </si>
  <si>
    <t>New or Retrofit</t>
  </si>
  <si>
    <t>Legacy 2019 Home Comfort Application v1.0</t>
  </si>
  <si>
    <t>Rebate tables on the Worksheet tab were updated to show the new efficiency tier levels and rebates</t>
  </si>
  <si>
    <t>5.20.19</t>
  </si>
  <si>
    <t>MCR</t>
  </si>
  <si>
    <t xml:space="preserve">Added Existing Heating Equipment table to the References tab </t>
  </si>
  <si>
    <t>Added TRUE of FALSE for Beneficial electrification for each existing heating type on the Existing Heating Equipment table</t>
  </si>
  <si>
    <t>Added New Construction and Air Source Heat Pump to the list of Existing Heating Equipment</t>
  </si>
  <si>
    <t>Added values for Efficiency, Displacement, and CO2 emissions</t>
  </si>
  <si>
    <t xml:space="preserve">Added Existing Cooling Equipment table to the References tab </t>
  </si>
  <si>
    <t>Added New Construction to both the Existing Heating Tpye and Primary Heating Source check boxes on the Customer Information tab</t>
  </si>
  <si>
    <t>1.0_Draft 1.2</t>
  </si>
  <si>
    <t>Product Class</t>
  </si>
  <si>
    <t xml:space="preserve">Updated Baseline EER, Baseline SEER, Baseline HSPF, and Displacement Factor on the Worksheet tab to reference the Existing Heating Equipment table </t>
  </si>
  <si>
    <t>Updated rebates on the References tab to be consistent with the proposal</t>
  </si>
  <si>
    <t>Reduced the size of the New Equipment Type drop down on the Worksheet tab to only include this offering</t>
  </si>
  <si>
    <t>Moved Naming tab information to table in References tab, and deleted the Naming tab</t>
  </si>
  <si>
    <t>Updated the Prop0 formulas to reference the References tab instead of the Naming tab</t>
  </si>
  <si>
    <t>Updated the Tier EER SEER and HSPF values on the Reference tab to be consistent with the proposal</t>
  </si>
  <si>
    <t>Furnace</t>
  </si>
  <si>
    <t>5.21.19</t>
  </si>
  <si>
    <t>Added Pre Inspection tab</t>
  </si>
  <si>
    <t>1.0_Draft 1.3</t>
  </si>
  <si>
    <t>Changed the name of the Inspection Form Tab to say Post Inspection Form</t>
  </si>
  <si>
    <t>Added True/False for each heating equipment type able to be selected on the Customer Information tab</t>
  </si>
  <si>
    <t/>
  </si>
  <si>
    <t>Baseline Heating Efficiecny (%)</t>
  </si>
  <si>
    <t>Model</t>
  </si>
  <si>
    <t>5.22.19</t>
  </si>
  <si>
    <t>Moved hidden calculation in the Worksheet tab to the Qualifying Index tab</t>
  </si>
  <si>
    <t>Added Existing Building and New Construction option buttons to the Customer Information tab and put them in a Group box</t>
  </si>
  <si>
    <t>5.23.19</t>
  </si>
  <si>
    <t>1.0_Draft 1.3.1</t>
  </si>
  <si>
    <t>Shifted columns for Unit Efficiency on the Worksheet tab to columns J:M</t>
  </si>
  <si>
    <t>Added the Existing Equipment Type and Efficiency to colmns P:S on the Worksheet tab</t>
  </si>
  <si>
    <t xml:space="preserve">Added the Existing Equipment Operation, Manufactur, and Model to colmns O51:S61 on the Worksheet tab </t>
  </si>
  <si>
    <t>Wrote marco to hide and unhide Columns O:S on the Worksheet tab depending on whather the project is for a Existing Building or New Construction. Macro will also clear contents when hidden.</t>
  </si>
  <si>
    <t>Moved Smart Thermostat check box, QIV contractor check box, and Clear All button Worksheet tab so that columns could hide without objects error</t>
  </si>
  <si>
    <t>5.24.19</t>
  </si>
  <si>
    <t>Added Ductless Mini Split and Other to list of existing equipment on the References tab, and expanded the drop down on the worksheet tab</t>
  </si>
  <si>
    <t>Application Version</t>
  </si>
  <si>
    <t>Equipment Cost</t>
  </si>
  <si>
    <t>Labor Cost</t>
  </si>
  <si>
    <t>Total Elec Util Cust Incentive</t>
  </si>
  <si>
    <t>Location</t>
  </si>
  <si>
    <t>Operation Hours</t>
  </si>
  <si>
    <t>Waste Heat Factor – Demand</t>
  </si>
  <si>
    <t>Waste Heat Factor - Energy</t>
  </si>
  <si>
    <t xml:space="preserve">Proposed/Installed Wattage </t>
  </si>
  <si>
    <t>Lamp Type</t>
  </si>
  <si>
    <t>Existing Device Code</t>
  </si>
  <si>
    <t>Existing Wattage</t>
  </si>
  <si>
    <t>kW Saved</t>
  </si>
  <si>
    <t>Ballast Type</t>
  </si>
  <si>
    <t>Wattage</t>
  </si>
  <si>
    <t>Lamp Length (ft)</t>
  </si>
  <si>
    <t>Number Lamps</t>
  </si>
  <si>
    <t>Product ID</t>
  </si>
  <si>
    <t>Watts Saved</t>
  </si>
  <si>
    <t>Proposed/Installed EER</t>
  </si>
  <si>
    <t>Proposed/Installed SEER</t>
  </si>
  <si>
    <t>Proposed/Installed HSPF</t>
  </si>
  <si>
    <t>Proposed/Installed COP</t>
  </si>
  <si>
    <t>Cooling Btuh</t>
  </si>
  <si>
    <t>Exist tons</t>
  </si>
  <si>
    <t>Energy Savings Factor kW</t>
  </si>
  <si>
    <t>Energy Savings Factor kWh</t>
  </si>
  <si>
    <t>Roof Area (sq ft)</t>
  </si>
  <si>
    <t>Solar Reflectance Index (3YR)</t>
  </si>
  <si>
    <t>Solar Reflectance Index (INITIAL)</t>
  </si>
  <si>
    <t>Horsepower</t>
  </si>
  <si>
    <t>CFM</t>
  </si>
  <si>
    <t>Storage Capacity</t>
  </si>
  <si>
    <t>Baseline Compressor Factor</t>
  </si>
  <si>
    <t>Compressor Factor</t>
  </si>
  <si>
    <t xml:space="preserve">Building Type </t>
  </si>
  <si>
    <t>Baseline Efficiency</t>
  </si>
  <si>
    <t>Load Factor</t>
  </si>
  <si>
    <t>Adjust the Prop0 to the Mater Prop0 layout</t>
  </si>
  <si>
    <t>Added Tonnage to Existing Equipment on the Worksheet tab</t>
  </si>
  <si>
    <t>Adjusted the Existing Equipment table on the Reference tab to organize by fuel type and equipment type</t>
  </si>
  <si>
    <t>Cooling kW Savings</t>
  </si>
  <si>
    <t>Cooling MMBTU Savings</t>
  </si>
  <si>
    <t>Cooling kWh Savings</t>
  </si>
  <si>
    <t>Heating kW Savings</t>
  </si>
  <si>
    <t>Heating kWh Savings</t>
  </si>
  <si>
    <t>Heating BE kW</t>
  </si>
  <si>
    <t>Heating BE kWh</t>
  </si>
  <si>
    <t>Savings and Beneficial Electrification Calculation</t>
  </si>
  <si>
    <t>Boiler</t>
  </si>
  <si>
    <t>Heating MMBTU Savings (fuel)</t>
  </si>
  <si>
    <t>Heating MMBTU Savings (kWh)</t>
  </si>
  <si>
    <t>Heating MMBTU Savings Total</t>
  </si>
  <si>
    <t>Heating CO2 Savings (lbs)</t>
  </si>
  <si>
    <t>Cooling CO2 savings (lbs)</t>
  </si>
  <si>
    <t>Emission Factor (lb CO2 / kWh)</t>
  </si>
  <si>
    <t>5.28.19</t>
  </si>
  <si>
    <t>Added Cooling and Heating Savings section to the Qualifying Index tab</t>
  </si>
  <si>
    <t>1.0_Draft 1.3.2</t>
  </si>
  <si>
    <t>Cooling and Heating Savings will calculte the cooling kW, kWh, MMBTU, and CO2 savings, as well as the heating kW, kWh, MMBTU beneficial electrification, and kW, kWh, MMBTU, and CO2 savings</t>
  </si>
  <si>
    <t>Mapped the correct savings value to the right column of the Prop0 tab</t>
  </si>
  <si>
    <t>Air Flow Tab - Refrigerant Inputs Super Heat</t>
  </si>
  <si>
    <t>Air Flow Tab - Refrigerant Inputs Subcooling</t>
  </si>
  <si>
    <t>Air Flow Tab 2 - Refrigerant Inputs Subcooling</t>
  </si>
  <si>
    <t>Air Flow Tab 2 - Refrigerant Inputs Super Heat</t>
  </si>
  <si>
    <t>Air Flow Tab 3 - Refrigerant Inputs Super Heat</t>
  </si>
  <si>
    <t>Air Flow Tab 3 - Refrigerant Inputs Subcooling</t>
  </si>
  <si>
    <t>Air Flow Tab 4 - Refrigerant Inputs Subcooling</t>
  </si>
  <si>
    <t>Air Flow Tab 5 - Refrigerant Inputs Subcooling</t>
  </si>
  <si>
    <t>Air Flow Tab 6 - Refrigerant Inputs Subcooling</t>
  </si>
  <si>
    <t>Air Flow Tab 4 - Refrigerant Inputs Super Heat</t>
  </si>
  <si>
    <t>Air Flow Tab 5 - Refrigerant Inputs Super Heat</t>
  </si>
  <si>
    <t>Air Flow Tab 6 - Refrigerant Inputs Super Heat</t>
  </si>
  <si>
    <t>Air Flow Tab 7 - Refrigerant Inputs Subcooling</t>
  </si>
  <si>
    <t>Air Flow Tab 7 - Refrigerant Inputs Super Heat</t>
  </si>
  <si>
    <t>Air Flow Tab 9 - Refrigerant Inputs Subcooling</t>
  </si>
  <si>
    <t>Air Flow Tab 9 - Refrigerant Inputs Super Heat</t>
  </si>
  <si>
    <t>Air Flow Tab 10 - Refrigerant Inputs Subcooling</t>
  </si>
  <si>
    <t>Air Flow Tab 10 - Refrigerant Inputs Super Heat</t>
  </si>
  <si>
    <t>Air Flow Tab 8 - Refrigerant Inputs Super Heat</t>
  </si>
  <si>
    <t>Air Flow Tab 8 - Refrigerant Inputs Subcooling</t>
  </si>
  <si>
    <t>Proposed</t>
  </si>
  <si>
    <t>Baseline Annual Usage (kWh)</t>
  </si>
  <si>
    <t>Efficient Annual Usage (kWh)</t>
  </si>
  <si>
    <t>Volume (ft3)</t>
  </si>
  <si>
    <t>Harvest Rate (lb/day)</t>
  </si>
  <si>
    <t>Bonus Factor</t>
  </si>
  <si>
    <t>Total Load</t>
  </si>
  <si>
    <t>Infiltration Factor - Closed</t>
  </si>
  <si>
    <t>Infiltration Factor - Open</t>
  </si>
  <si>
    <t>Free Cooling - Closed</t>
  </si>
  <si>
    <t>Free Cooling - Open</t>
  </si>
  <si>
    <t>Unit Type</t>
  </si>
  <si>
    <t>Pre CFM</t>
  </si>
  <si>
    <t>Post CFM</t>
  </si>
  <si>
    <t>CFM Reduction</t>
  </si>
  <si>
    <t>Existing AC Age</t>
  </si>
  <si>
    <t>Building Square Footage</t>
  </si>
  <si>
    <t>Pre Water Temperature</t>
  </si>
  <si>
    <t>Post Water Temperature</t>
  </si>
  <si>
    <t>Tank Insulation</t>
  </si>
  <si>
    <t>Pre GPM</t>
  </si>
  <si>
    <t>Post GPM</t>
  </si>
  <si>
    <t>Conditioned</t>
  </si>
  <si>
    <t>Pints per Day</t>
  </si>
  <si>
    <t>Proposed EF</t>
  </si>
  <si>
    <t>Dehumidifier Age</t>
  </si>
  <si>
    <t>Extended Prop0 tab to include field from Comprehensive lighting, FT lighting, Outdoor Lighting, HVAC, Refrigeration, Standard, HPDI, REAP, and Geothermal Applications. This application will have the first master Prop0 tab</t>
  </si>
  <si>
    <t>5.29.19</t>
  </si>
  <si>
    <t>Removed QIV language</t>
  </si>
  <si>
    <t>Removed pink comments from Customer Information, T&amp;Cs, Required Documents, and Guidelines</t>
  </si>
  <si>
    <t>Changed the application submission date from January 1, 2019 to the effective date of the application</t>
  </si>
  <si>
    <t>Customer Information tab: added field to collect square footage of home</t>
  </si>
  <si>
    <t>Adjusted row heights and column width on guidelines tab so text can be fully visible.</t>
  </si>
  <si>
    <t>Corrected typo on guidelines tab</t>
  </si>
  <si>
    <t>On worksheet tab: merged and centered cells for input of serial number under Installed System Specifications section</t>
  </si>
  <si>
    <t>Hid formulas within tables on both inspection tabs</t>
  </si>
  <si>
    <t>Locked all cells not requiring data input on inspection tabs</t>
  </si>
  <si>
    <t>1.0_Draft 1.3.4</t>
  </si>
  <si>
    <t>6.5.19</t>
  </si>
  <si>
    <t>Formatted PSEG-LI Logos across each tab</t>
  </si>
  <si>
    <t>6.6.19</t>
  </si>
  <si>
    <t>Changed settings for QIV Contractor checkbox on the Worksheet tab to move and size with cells</t>
  </si>
  <si>
    <t>Hid rows that are connected to the QIV Contractor checkbox so the checkbox will also be hidden</t>
  </si>
  <si>
    <t>Removed "Check her to Assign Rebate" check box because it is already checked under Rebate Payment Method in the section above</t>
  </si>
  <si>
    <t>Moved the formula that shos/hides the Assignment Form tab to the "Assigned Installation Contractor" check box</t>
  </si>
  <si>
    <t>Reinstated the Ductless HP options in the table on the Worksheet tab with the old teir values of 18 SEER and 8.5 or 10 HSPF</t>
  </si>
  <si>
    <t>Added new rebate and incentive values to the Ductless HPs on the Worksheets tab table</t>
  </si>
  <si>
    <t>Added the Word "Ducted" before all non-ductless heat pumps listed on the Worksheet tab table</t>
  </si>
  <si>
    <t>EE CO2 Savings</t>
  </si>
  <si>
    <t>BE CO2 Savings</t>
  </si>
  <si>
    <t>Total CO2 Savings</t>
  </si>
  <si>
    <t>Ducted Cold Climate ASHP</t>
  </si>
  <si>
    <t>Ductless Mini Split Systems - Cold Climate ASHP</t>
  </si>
  <si>
    <t>Gross Winter kW</t>
  </si>
  <si>
    <t>Utility Gross Winter kW</t>
  </si>
  <si>
    <t>Net Winter kW</t>
  </si>
  <si>
    <t>Total Net Winter kW</t>
  </si>
  <si>
    <t>Delta Gross kWh</t>
  </si>
  <si>
    <t>Delta Utility Gross kWh</t>
  </si>
  <si>
    <t>Delta Net kWh</t>
  </si>
  <si>
    <t>Total Delta Net kWh</t>
  </si>
  <si>
    <t>Cooling Hours</t>
  </si>
  <si>
    <t>Heating hours</t>
  </si>
  <si>
    <t>Heating kWh CO2 Savings (lbs)</t>
  </si>
  <si>
    <t>Heating ff CO2 Savings (lbs)</t>
  </si>
  <si>
    <t>Option 3: Weigh In (can be used for any system ONLY when outdoor ambient temperature is below OEM specification.):</t>
  </si>
  <si>
    <t>Option 1: SUBCOOLING Notes: Preferred Method. Typical for most Thermal Expansion Valve systems when outdoor temperature is greater than OEM spec. (Typ. 60°F)</t>
  </si>
  <si>
    <t>Require ccASHP for new construction Whole House Solutions</t>
  </si>
  <si>
    <t>1.0_Draft 1.3.5</t>
  </si>
  <si>
    <t>6.7.19</t>
  </si>
  <si>
    <t>Added Option 3 on Airflow Form</t>
  </si>
  <si>
    <t>Noted that Option 1 was the preferred method for Airflow testing on the Airflow tab</t>
  </si>
  <si>
    <t>On the Qualifying Index tab the logic for Equipment + Tier was updated to say &lt;&gt; CAC PTHP or Ductless, as opposed to = ASHP or Ductless HP</t>
  </si>
  <si>
    <t>Added EE and BE CO2 columns to Prop 0 which will reference the CO2 savings calculated on the Qualifying index tab</t>
  </si>
  <si>
    <t>Added Heating CO2 Savings from kWh and ff to Qualifying Index tab to properly separate out the CO2 savings</t>
  </si>
  <si>
    <t>Updated Product Names and Measure codes to be more consistan with the current method to set up Measure Codes</t>
  </si>
  <si>
    <t>Added Ducted ccASHP EH Tier II, Ductless Mini Split - ASHP EH Tier II, and Ductless Mini Split - ccASHP EH Tier II to the Rebate lookup table on the References tab</t>
  </si>
  <si>
    <t>Updated the table on the worksheet to only reflect the ccASHPs offered for New Construction Whole House Solutions</t>
  </si>
  <si>
    <t>Adjusted Existing Building/ New Construction button code to clear the new Existing equipment table range</t>
  </si>
  <si>
    <t>Added space on the Post Inspection form to collect secondary heating systems as well as integrated controls</t>
  </si>
  <si>
    <t>Added Requirement for Integrated Controls on the Guidelines tab</t>
  </si>
  <si>
    <t>Added check box for Integrated controls on the Worksheet tab</t>
  </si>
  <si>
    <t>Added row for Integrated controls on the Prop0, Only populated fields for Product Line, Class, Name, Measure Code, Savings (0), and Rebate. Currently not requiring additional info on controls.</t>
  </si>
  <si>
    <t>Added Integrated controls to the table on the Worksheet tab</t>
  </si>
  <si>
    <t>Terms and Conditions</t>
  </si>
  <si>
    <t>The Home Comfort Rebate Program offers rebates to PSEG Long Island customers who install an energy efficient, properly sized heating or air conditioning system. 
Projects are subject to post-inspection.</t>
  </si>
  <si>
    <t>Updated language prefacing Assignment Letter</t>
  </si>
  <si>
    <t xml:space="preserve">Updated Terms &amp; Conditions and Guidelines with new policy related to secondary heating source. Updated Guidelines to reflect newsizing requirements </t>
  </si>
  <si>
    <t>6.10.19</t>
  </si>
  <si>
    <t>Added QIV factor savings to Heating EE kW and kWh savings on the Qualifying Index</t>
  </si>
  <si>
    <t>1.0_Draft 1.3.6</t>
  </si>
  <si>
    <t>Updated Winter kW Savings to be depndant on whether the heating is EE or BE</t>
  </si>
  <si>
    <t>Chnaged the Qualifying Index to always have negative kW for BE savings</t>
  </si>
  <si>
    <t>Added an "IF" statement to the Integrated Controls on the Prop0 tab so savings will apear as "" if there are no Integrated controls</t>
  </si>
  <si>
    <t xml:space="preserve">Ducted ASHP </t>
  </si>
  <si>
    <t xml:space="preserve">Ducted Cold Climate ASHP </t>
  </si>
  <si>
    <t xml:space="preserve">Ductless Mini Split Systems - ASHP </t>
  </si>
  <si>
    <t xml:space="preserve">Ductless Mini Split Systems - Cold Climate ASHP </t>
  </si>
  <si>
    <t>6.12.19</t>
  </si>
  <si>
    <t>1.0_Draft 1.3.7</t>
  </si>
  <si>
    <t>Worksheet tab: split eligibility and rebate table into two; one for new construction and the other for electric resistance heating customers</t>
  </si>
  <si>
    <t>Increased row height on Terms &amp; Conditions tab so text is legible</t>
  </si>
  <si>
    <t>Required Documents Tab: made sure manual j requirement applied to heating and cooling load calculations</t>
  </si>
  <si>
    <t>6.13.19</t>
  </si>
  <si>
    <t>Moved Worksheet tables to be one on top of the other</t>
  </si>
  <si>
    <t>Added PopUp and Note on Customer Information to notify the contractor this offering is only available to NC whole house or existing ER</t>
  </si>
  <si>
    <t>1.0_Draft 1.3.8</t>
  </si>
  <si>
    <t>If new thermostat is to be connected to a unit identified on the Worksheet tab, please indicate the unit number from Column B. of the Worksheet tab in Column G under "Unit Controlled".</t>
  </si>
  <si>
    <t>Worksheet tab- ASHP</t>
  </si>
  <si>
    <t>Smart T-Stats tab- Thermostats</t>
  </si>
  <si>
    <t>Learning vs. Connected</t>
  </si>
  <si>
    <t>Controlled Unit</t>
  </si>
  <si>
    <t>Cooling BTUH</t>
  </si>
  <si>
    <t>Heating BTUH</t>
  </si>
  <si>
    <t>Heating Hours</t>
  </si>
  <si>
    <t>kWh Savings</t>
  </si>
  <si>
    <t>MMBTU savings</t>
  </si>
  <si>
    <t>CO2 savings (lbs)</t>
  </si>
  <si>
    <t>Added Learning vs Connected table to references to differentiate between ENERGYSTAR rated Learning/geofencing thermostats, and ones only with Wifi capability</t>
  </si>
  <si>
    <t>Added Smart Tstat Savings calcs to Qualifying index using ASHP real data or TRM assumptions</t>
  </si>
  <si>
    <t>Smart Tstat Savings will follow the original Index and Match protocol for connected thermostats, and will calculate using HVAC info and energy savings factors for Leanring thermostats</t>
  </si>
  <si>
    <t>Populated Qualifying Index Smart Tstat saving to Prop0</t>
  </si>
  <si>
    <t>Ductless ccASHP tier 2 was changed to be be $1000 per ton. It was incorrectly written as $800</t>
  </si>
  <si>
    <t>Rebate calculation on the Worksheet was updated to search if References cell H14 was blank instead of G14</t>
  </si>
  <si>
    <t>1.0_Draft 1.3.9</t>
  </si>
  <si>
    <t>Updated Coincidence factor to be 65% to be consistant with the ODC TRM</t>
  </si>
  <si>
    <t>Measure codes for whole House Solutions were updated to show WH-NC for whole house new construction</t>
  </si>
  <si>
    <t>1.0_Draft 1.4</t>
  </si>
  <si>
    <t>6.14.19</t>
  </si>
  <si>
    <t>Increased row height on Terms &amp; Conditions tab even more so text is legible</t>
  </si>
  <si>
    <t>7.9.19</t>
  </si>
  <si>
    <t>Fixed QIV kWh savings to allow heating QIV savings when "Ducted ccASHP" is selected. Previously, it was only for "Ducted ASHP".</t>
  </si>
  <si>
    <t>1.1_Draft 1.0</t>
  </si>
  <si>
    <t>Adjusted formatting for SqFt. On Customer Information tab. Previously it was following the phone number format</t>
  </si>
  <si>
    <t>Added "WH" to the Product Name of Whole House Heat Pumps</t>
  </si>
  <si>
    <t>Gross kWh</t>
  </si>
  <si>
    <t>Net kWh</t>
  </si>
  <si>
    <t>Total Net kWh</t>
  </si>
  <si>
    <t>Removed "EE" from renamed savings fields to make mapping easier for the first iteration of the Master Prop0</t>
  </si>
  <si>
    <t>Updated formula on References tab I36:N36 to allow formulas to work when NC is selected without a source or primary heating</t>
  </si>
  <si>
    <t>Updated EE and BE MMBTU formulas on Prop0 to have positive kWh MMBTU (Heating MMBTU Savings (kWh)) savings be counted as EE MMBTU and Negative kWh MMBTU counted as BE MMBTU</t>
  </si>
  <si>
    <t>Gross kW</t>
  </si>
  <si>
    <t>7.10.19</t>
  </si>
  <si>
    <t>Mapped Building SqFt to Prop0 column DW</t>
  </si>
  <si>
    <t>1.1_Draft 1.1</t>
  </si>
  <si>
    <t>Changed contractor incentive to reference ReferencesH36 instead of ReferencesG14, because incentive was not appearing if NC was selected w/o a heating source or equipment</t>
  </si>
  <si>
    <t>7.11.19</t>
  </si>
  <si>
    <t>Customer and contractor information were not populating to the Pre-Isection Form tab. Formulas were added to match the Post-Inspection Form tab.</t>
  </si>
  <si>
    <t>6.18.19</t>
  </si>
  <si>
    <t xml:space="preserve">Draft 1.0 approved by client and ready for release. </t>
  </si>
  <si>
    <t>7.23.19</t>
  </si>
  <si>
    <t>EFLH was correctly displayed for calculations, but incorrectly mapped to Prop0. Prop0 Full load hours now reference the Qualifying Index tab</t>
  </si>
  <si>
    <t>1.1_Draft 1.2</t>
  </si>
  <si>
    <t>Added NOT ISNUMBER function for Existing equipment logic on the Qualifying Index to avoid non-number values from being used in formulas</t>
  </si>
  <si>
    <t>Changed rounding values on Reference tab to be 7 and 5 for kW and kWh savings respectively</t>
  </si>
  <si>
    <t>Utility Gross kW</t>
  </si>
  <si>
    <t>Net kW</t>
  </si>
  <si>
    <t>Total Net kW</t>
  </si>
  <si>
    <t>Utility Gross kWh</t>
  </si>
  <si>
    <t>EE MMBTU Savings</t>
  </si>
  <si>
    <t>Changed Qualifying Index Winter kW calcs to reference HSPF not EER</t>
  </si>
  <si>
    <t>Wi-Fi Enabled Smart Thermostat</t>
  </si>
  <si>
    <t>7.24.19</t>
  </si>
  <si>
    <t>Changed font and border colors, and logos to match LM colors and logos on all tabs</t>
  </si>
  <si>
    <t>7.25.19</t>
  </si>
  <si>
    <t>1.1_Draft 1.3</t>
  </si>
  <si>
    <t xml:space="preserve">Changed Winter kW to look at heating efficiencies </t>
  </si>
  <si>
    <t xml:space="preserve">Changed NC SEER baseline to 14 SEER to be consistant with the WH proposal </t>
  </si>
  <si>
    <t>Rounded rebate to the nearest dollar</t>
  </si>
  <si>
    <t>Removed "New Construction" from the Elecrtic Heating table on the Worksheet</t>
  </si>
  <si>
    <t>1.1_Draft 1.4</t>
  </si>
  <si>
    <t>7.29.19</t>
  </si>
  <si>
    <t>Removed Coincidence Factor from Winter kW Savings as there is not Winter Peak yet</t>
  </si>
  <si>
    <t>1.1_Draft 1.5</t>
  </si>
  <si>
    <t>7.31.19</t>
  </si>
  <si>
    <t>ED</t>
  </si>
  <si>
    <t>1.1_Draft1.6</t>
  </si>
  <si>
    <t>Worksheet: Updated number formatting in "existing" table for cooling btuh</t>
  </si>
  <si>
    <t>Prop 0: Updated formula in Column K (Gross Winter kW) to drag down References I36 to all equipment lines</t>
  </si>
  <si>
    <t>Qualifying Index: Column BC - Changed formula to reference column AJ instead of AI</t>
  </si>
  <si>
    <t>Prop 0: kW and MMBTU BE/EE Formulas dragged down</t>
  </si>
  <si>
    <t>1.1_Draft1.7</t>
  </si>
  <si>
    <t>Ed</t>
  </si>
  <si>
    <t>8.6.19</t>
  </si>
  <si>
    <t>Locked up and finalized workbook per client approval; updated effective date to 8.6.2019 and version to 1.0 since this is the first INTERNAL version of the workbook</t>
  </si>
  <si>
    <t>9.18.19</t>
  </si>
  <si>
    <t>draft1.0</t>
  </si>
  <si>
    <t>Reference: Changed the Ductless mini split ccASHP Tier 2 for Electric Heat measure code from CH302 to CH220</t>
  </si>
  <si>
    <t>Reference: Changed the Ductless mini split ccASHP Tier 2 for Whole House measure code from CH313 to CH220</t>
  </si>
  <si>
    <t>Reference: Changed the Ducted ccASHP Tier 2 for Electric Heat measure code from CH312 to CH221</t>
  </si>
  <si>
    <t>Reference: Changed the Ducted ccASHP Tier 2 for Whole House measure code from CH312 to CH221</t>
  </si>
  <si>
    <t>Worksheet: changed Contractor Incentive on electric heat  eligibility table from $500 to $1,500</t>
  </si>
  <si>
    <t>Refrences: Updated contractor incentive from $500 to $1,500 this will be effective for Sept 1st through October 31st</t>
  </si>
  <si>
    <t>10.17.19</t>
  </si>
  <si>
    <t>Early release of Whole House Application with senarios 2 &amp; 3 available</t>
  </si>
  <si>
    <t>2.0_draft1.0</t>
  </si>
  <si>
    <t>Whole House Scenario?</t>
  </si>
  <si>
    <t>Customer Information: Added "Whole House Existing Building" and "Whole House New Construction" Option buttons</t>
  </si>
  <si>
    <t>References: Added a Whole House TRUE FALSE in C21</t>
  </si>
  <si>
    <t>Electric Heat</t>
  </si>
  <si>
    <t>Qualifying_Index: Added Column I to track which WH scenario is true</t>
  </si>
  <si>
    <t>Qualifying_Index: Cooling and Heating EFLH will change based on whether the project is Whole house, new constrcution, etc.</t>
  </si>
  <si>
    <t>Qualifying_Index: Revised New or Retrofit column to include Whole House</t>
  </si>
  <si>
    <t>Customer Information: Linked new Option buttons to References A21 &amp; Macro</t>
  </si>
  <si>
    <t>Qualifying_Index: Revised New Equipment + Tier to include Whole House Scenario</t>
  </si>
  <si>
    <t>References: Added Scenarios 2 &amp; 3 from 2020 Master Internal Resi draft 1.2.2</t>
  </si>
  <si>
    <t>2.0_draft1.1</t>
  </si>
  <si>
    <t>10.18.19</t>
  </si>
  <si>
    <t>Qualifying_Index: Adjusted rebate formula to include new Whole House scenarios</t>
  </si>
  <si>
    <t>Qualifying Index: Adjusted formulas in AG AH AJ AK to check if project is Whole House instead of New Construction</t>
  </si>
  <si>
    <t>Whole House Projects</t>
  </si>
  <si>
    <t>2.0_draft1.2</t>
  </si>
  <si>
    <t>Worksheet: Expanded rebate table</t>
  </si>
  <si>
    <t>Change to External worksheet: Remove "INTERNAL", change colors to orange, logos are all PSEGLI</t>
  </si>
  <si>
    <t xml:space="preserve">Tier II 
HSPF </t>
  </si>
  <si>
    <t>Tier I
Existing Oil w/ no CAC</t>
  </si>
  <si>
    <t>Tier II
Existing Oil w/ no CAC</t>
  </si>
  <si>
    <t>Tier I
All Others</t>
  </si>
  <si>
    <t>Tier II
All Others</t>
  </si>
  <si>
    <t>10.22.19</t>
  </si>
  <si>
    <t>Customer Macro: Added two new Macros for the two Whole House option buttons that will trigger a pop up explaining the main criteria for whole house</t>
  </si>
  <si>
    <t>Worksheet: Removed tables</t>
  </si>
  <si>
    <t>Worksheet: Copied tables from "Tables" as pictures</t>
  </si>
  <si>
    <t>Added new tab "Tables"</t>
  </si>
  <si>
    <t>Tables: Recreated Electric Heat and Whole House eligibility tables</t>
  </si>
  <si>
    <t>References: Changed H14 formula to include Whole House New Construction</t>
  </si>
  <si>
    <t>Qualifying_Index: Changed New or Retrofit to look for Whole House first</t>
  </si>
  <si>
    <t>Worksheet: Changed logic in P38  formula to include Whole House New Construction</t>
  </si>
  <si>
    <t>Integrated Controls</t>
  </si>
  <si>
    <t>11.4.19</t>
  </si>
  <si>
    <t>References: Added Integrated Controls Section Listing Manufactures, and Models for both Dual Fuel Thermostats and Integrated controls. Based on masssave 10/18 list</t>
  </si>
  <si>
    <t xml:space="preserve">MCR </t>
  </si>
  <si>
    <t>Integrated Controls: Copied Dual Fuel Thermostat Tab and renamed "Integrated Controls"</t>
  </si>
  <si>
    <t>Integrated Controls: Hid all but one row for User inputs</t>
  </si>
  <si>
    <t>Integrated Controls: Linked drop downs to new Integrated Controls section in References. Manufacturers will update based on whether Thermostat or Control is selected.</t>
  </si>
  <si>
    <t>Integrated Controls: Updated Customer and Contractor incentive based on 10/30/19 meeting. Contractor will get larger incentive for their labor.</t>
  </si>
  <si>
    <t>Integrated Controls: Updated Instructions</t>
  </si>
  <si>
    <t>Integrated Controls: Changed the eligibilty explanation in row 4 to be more relevant for dual fuel thermostats and integrated controls</t>
  </si>
  <si>
    <t>Worksheet: Linked Integrated Control Check box to Integrated control sheet to hide/unhide</t>
  </si>
  <si>
    <t>Worksheet: Removed Integrated Control incentive</t>
  </si>
  <si>
    <t>Integrated Control: Added Contractor Incentive Column to table</t>
  </si>
  <si>
    <t>Qualifying_Index: Added Integrated controls Section</t>
  </si>
  <si>
    <t>Prop0: Linked Savings for integrated controls to the Qualifying Index</t>
  </si>
  <si>
    <t>Prop0: Linked customer and contractor incentives, manufacturer, and model for integrated controls to the Integrated controls tab</t>
  </si>
  <si>
    <t>Integrated Controls: Added instructions for smart thermostats</t>
  </si>
  <si>
    <t>11.5.19</t>
  </si>
  <si>
    <t>2.0_draft1.3</t>
  </si>
  <si>
    <t>2.0_draft 1.4</t>
  </si>
  <si>
    <t>Qualifying_Index: Added Logic for SEER, HSPF Teirs 1 and 2 to find EH specific Minimum efficiencies</t>
  </si>
  <si>
    <t>References: Populated Minimum efficiencies for Ductless ccASHP EH replacements</t>
  </si>
  <si>
    <t>Integrated Controls: Deleted the Customer Incentive column</t>
  </si>
  <si>
    <t>Integrated Controls: Chnaged Contractor Incentive to $500</t>
  </si>
  <si>
    <t>11.6.19</t>
  </si>
  <si>
    <t>References: Chnaged "Air Source HP" to "Ducted Air Source HP"</t>
  </si>
  <si>
    <t>Qualifying Index:  Added logic to Whole House Scenario to generate scenario 3 for existing ducted ASHPs</t>
  </si>
  <si>
    <t>2.0_draft 1.4.1</t>
  </si>
  <si>
    <t>11.7.19</t>
  </si>
  <si>
    <t>2.0_draft 1.4.2</t>
  </si>
  <si>
    <t>Worksheet: Changed instructions to inform user to fill in the Customer Inouts tab first</t>
  </si>
  <si>
    <t>Customer Information: Updated language at the top to explain which customers are eligible for the two rebate offerings on this application.</t>
  </si>
  <si>
    <t>11.8.19</t>
  </si>
  <si>
    <t>Integrated Controls: Switched Rebate back to Customer</t>
  </si>
  <si>
    <t>Prop0: Moved Contractor incentive to Customer Rebate column</t>
  </si>
  <si>
    <t>2.0_draft 1.4.3</t>
  </si>
  <si>
    <t>11.15.19</t>
  </si>
  <si>
    <t>R-Value Installed:</t>
  </si>
  <si>
    <t>Existing R-Value:</t>
  </si>
  <si>
    <t>Location:</t>
  </si>
  <si>
    <t>Location 5:</t>
  </si>
  <si>
    <t>Location 4:</t>
  </si>
  <si>
    <t>Location 3:</t>
  </si>
  <si>
    <t>Location 2:</t>
  </si>
  <si>
    <t>Location 1:</t>
  </si>
  <si>
    <t>Insulation</t>
  </si>
  <si>
    <t>Total Air Sealing Square Footage:</t>
  </si>
  <si>
    <t>Air Sealing</t>
  </si>
  <si>
    <t>Duct Location:</t>
  </si>
  <si>
    <t>Duct Sealing</t>
  </si>
  <si>
    <t>Heating Source:</t>
  </si>
  <si>
    <t>COP:</t>
  </si>
  <si>
    <t>EER:</t>
  </si>
  <si>
    <t>HSPF:</t>
  </si>
  <si>
    <t>SEER:</t>
  </si>
  <si>
    <t>Cooling Capacity:</t>
  </si>
  <si>
    <t>Heating Capacity:</t>
  </si>
  <si>
    <t>- Please Select -</t>
  </si>
  <si>
    <t>Enter all data inputs fields for installed measures</t>
  </si>
  <si>
    <t>3)</t>
  </si>
  <si>
    <t>2)</t>
  </si>
  <si>
    <t>Enter applicable Heating and Cooling System information</t>
  </si>
  <si>
    <t>1)</t>
  </si>
  <si>
    <t>Spillage:</t>
  </si>
  <si>
    <t>Test Out</t>
  </si>
  <si>
    <t>Test In</t>
  </si>
  <si>
    <t>Pa</t>
  </si>
  <si>
    <t>Draft:</t>
  </si>
  <si>
    <t>ppm</t>
  </si>
  <si>
    <t>CO Ambient:</t>
  </si>
  <si>
    <t>CO Flue:</t>
  </si>
  <si>
    <t>Energy Factor:</t>
  </si>
  <si>
    <t>Size(gallons):</t>
  </si>
  <si>
    <t>Year of Mfg.:</t>
  </si>
  <si>
    <t>Fuel:</t>
  </si>
  <si>
    <t>Distribution:</t>
  </si>
  <si>
    <t>B.T.U.:</t>
  </si>
  <si>
    <t>Venting:</t>
  </si>
  <si>
    <t>Type:</t>
  </si>
  <si>
    <t>Detail:</t>
  </si>
  <si>
    <t>DHW</t>
  </si>
  <si>
    <t>Combustion Appliance No. 2</t>
  </si>
  <si>
    <t>Combustion Appliance No. 1</t>
  </si>
  <si>
    <t xml:space="preserve"> </t>
  </si>
  <si>
    <t>Gas Leak:</t>
  </si>
  <si>
    <t>Worst Case Pressure WRTO:</t>
  </si>
  <si>
    <t>CAZ Ambient CO:</t>
  </si>
  <si>
    <t>Combustion Safety test in (Tested at worst case)</t>
  </si>
  <si>
    <t>Pressure Difference:</t>
  </si>
  <si>
    <t>Baseline Pressure WRTO:</t>
  </si>
  <si>
    <t>CAZ Pressure Diagnostics</t>
  </si>
  <si>
    <t>Project Number</t>
  </si>
  <si>
    <t>Health &amp; Safety: Heating and Air Conditioning</t>
  </si>
  <si>
    <t>Air Flow Tabs</t>
  </si>
  <si>
    <t>Unconditioned Basement</t>
  </si>
  <si>
    <t>Unconditioned Attic</t>
  </si>
  <si>
    <t>Duct Location</t>
  </si>
  <si>
    <t>Flooring</t>
  </si>
  <si>
    <t>Foundation Walls</t>
  </si>
  <si>
    <t>Rim Joist</t>
  </si>
  <si>
    <t>Garage Overhang</t>
  </si>
  <si>
    <t>Exterior Walls</t>
  </si>
  <si>
    <t>Attic 2</t>
  </si>
  <si>
    <t>Attic</t>
  </si>
  <si>
    <t>Location Attribute</t>
  </si>
  <si>
    <t>Garage/Overhang</t>
  </si>
  <si>
    <t>11.14.19</t>
  </si>
  <si>
    <t>HPwES: Moved from PSEGLI_2020 Home Comfort_VERSION draft_2.4</t>
  </si>
  <si>
    <t>HPwES H&amp;S: Moved from PSEGLI_2020 Home Comfort_VERSION draft_2.4</t>
  </si>
  <si>
    <t>1.0_draft 2.5</t>
  </si>
  <si>
    <t>References: Cut and Paste HP tables on draft 2.4 Reference tab to this Reference tab</t>
  </si>
  <si>
    <t>HPwES: Changed Data Validation to use Offset formula for D110, J110, D122, J122, &amp; D134</t>
  </si>
  <si>
    <t>Electric Baseboard</t>
  </si>
  <si>
    <t>Geothermal</t>
  </si>
  <si>
    <t>Heat Pump</t>
  </si>
  <si>
    <t>Combustion Equipment</t>
  </si>
  <si>
    <t>Fuel Type</t>
  </si>
  <si>
    <t>Sealed</t>
  </si>
  <si>
    <t xml:space="preserve">Power Vented </t>
  </si>
  <si>
    <t>Induced</t>
  </si>
  <si>
    <t>Natural</t>
  </si>
  <si>
    <t>Venting</t>
  </si>
  <si>
    <t>Radiator</t>
  </si>
  <si>
    <t>Baseboard</t>
  </si>
  <si>
    <t>Forced Hot Air</t>
  </si>
  <si>
    <t>Distribution</t>
  </si>
  <si>
    <t>Tankless</t>
  </si>
  <si>
    <t>Indirect Storage</t>
  </si>
  <si>
    <t>Direct Storage</t>
  </si>
  <si>
    <t>Project Type:</t>
  </si>
  <si>
    <t>References: Cut and Paste DHW tabled from 2020 HPDI draft 4 References tab to this References tab</t>
  </si>
  <si>
    <t>Customer Information: added 2 rows below Application Type &amp; Named row Project Type</t>
  </si>
  <si>
    <t>Customer Information: added 2 Check Boxes to Project Type called "Whole House" &amp; "Income Eligible"</t>
  </si>
  <si>
    <t>Customer Information: Linked "Whole House" check box to References cell C21</t>
  </si>
  <si>
    <t>Macro: Added macro for "Whole House" (checkbox1) so that when TRUE a pop-up explains what whole house is</t>
  </si>
  <si>
    <t>Macro: Added macro for "Income Eligible" (chackbox3) so that when TRUE a pop-up explains where they can learn if they are income eligible</t>
  </si>
  <si>
    <t>Customer Information: Linked "Income Eligible" check box to References cell C17</t>
  </si>
  <si>
    <t>Tier I EER</t>
  </si>
  <si>
    <t>Tier I HSPF/COP</t>
  </si>
  <si>
    <t>Tier II SEER</t>
  </si>
  <si>
    <t xml:space="preserve">Tier II HSPF </t>
  </si>
  <si>
    <t>Ducted Cold Climate Air Source Heat Pumps</t>
  </si>
  <si>
    <t>Ductless Mini Split Systems - Air Source Heat Pumps</t>
  </si>
  <si>
    <t>Ductless Mini Split Systems - Cold Climate Air Source Heat Pumps</t>
  </si>
  <si>
    <t>Packaged Terminal Heat Pumps</t>
  </si>
  <si>
    <t>1.0_draft 2.6</t>
  </si>
  <si>
    <t>Tables: Added Regular HC offerings table</t>
  </si>
  <si>
    <t>Select…</t>
  </si>
  <si>
    <t>-</t>
  </si>
  <si>
    <t>I - Inaccessible</t>
  </si>
  <si>
    <t>I</t>
  </si>
  <si>
    <t>F - Floored</t>
  </si>
  <si>
    <t>F</t>
  </si>
  <si>
    <t>O - Open/ Unfloored</t>
  </si>
  <si>
    <t>O</t>
  </si>
  <si>
    <t>S - Finished Slope</t>
  </si>
  <si>
    <t>S</t>
  </si>
  <si>
    <t>K - Kneewall</t>
  </si>
  <si>
    <t>K</t>
  </si>
  <si>
    <t>V - Overhang</t>
  </si>
  <si>
    <t>V</t>
  </si>
  <si>
    <t>G - Garage Ceiling</t>
  </si>
  <si>
    <t>G</t>
  </si>
  <si>
    <t>Attic Insulation</t>
  </si>
  <si>
    <t>R-29</t>
  </si>
  <si>
    <t>&gt; 12"</t>
  </si>
  <si>
    <t>R-24</t>
  </si>
  <si>
    <t>9 - 12"</t>
  </si>
  <si>
    <t>R-19</t>
  </si>
  <si>
    <t>6 - 9"</t>
  </si>
  <si>
    <t>R-14</t>
  </si>
  <si>
    <t>3 -5"</t>
  </si>
  <si>
    <t>R-9</t>
  </si>
  <si>
    <t>&lt; 3"</t>
  </si>
  <si>
    <t>Bypass Codes</t>
  </si>
  <si>
    <t>C - Chaseways</t>
  </si>
  <si>
    <t>C</t>
  </si>
  <si>
    <t>F - Flue Stacks</t>
  </si>
  <si>
    <t>P - Plumping Stacks</t>
  </si>
  <si>
    <t>P</t>
  </si>
  <si>
    <t>W - Open Wall Tops</t>
  </si>
  <si>
    <t>W</t>
  </si>
  <si>
    <t>D - Dropped Ceiling</t>
  </si>
  <si>
    <t>D</t>
  </si>
  <si>
    <t>H - Attic Hatch</t>
  </si>
  <si>
    <t>H</t>
  </si>
  <si>
    <t>O - Other</t>
  </si>
  <si>
    <t>Color</t>
  </si>
  <si>
    <t>Black</t>
  </si>
  <si>
    <t xml:space="preserve">White </t>
  </si>
  <si>
    <t xml:space="preserve">Bisque </t>
  </si>
  <si>
    <t>Color 2</t>
  </si>
  <si>
    <t>Select...</t>
  </si>
  <si>
    <t>White</t>
  </si>
  <si>
    <t>Bisque</t>
  </si>
  <si>
    <t>Condition Codes</t>
  </si>
  <si>
    <t>EX - Existing Leak</t>
  </si>
  <si>
    <t>EX</t>
  </si>
  <si>
    <t>P - Prior Leak</t>
  </si>
  <si>
    <t>S - Structural Damage</t>
  </si>
  <si>
    <t>M - Minor Damage</t>
  </si>
  <si>
    <t>M</t>
  </si>
  <si>
    <t>O - Obstructions</t>
  </si>
  <si>
    <t>C - Customer Will Clear</t>
  </si>
  <si>
    <t>Condition</t>
  </si>
  <si>
    <t>Yes</t>
  </si>
  <si>
    <t>None</t>
  </si>
  <si>
    <t>No Access</t>
  </si>
  <si>
    <t>Unconditioned</t>
  </si>
  <si>
    <t>Conditoned/Unconditioned</t>
  </si>
  <si>
    <t>Overheated</t>
  </si>
  <si>
    <t>Hinge</t>
  </si>
  <si>
    <t xml:space="preserve">Left </t>
  </si>
  <si>
    <t>Right</t>
  </si>
  <si>
    <t>Heating Source</t>
  </si>
  <si>
    <t>Gas</t>
  </si>
  <si>
    <t>Wood</t>
  </si>
  <si>
    <t>11.25.19</t>
  </si>
  <si>
    <t>Name Manager: Remove duplicate names</t>
  </si>
  <si>
    <t>1.0_draft 2.7</t>
  </si>
  <si>
    <t>AC Types</t>
  </si>
  <si>
    <t>Central AC</t>
  </si>
  <si>
    <t>Central HP</t>
  </si>
  <si>
    <t>Minisplit AC</t>
  </si>
  <si>
    <t>Minisplit HP</t>
  </si>
  <si>
    <t>Closed Loop Geo</t>
  </si>
  <si>
    <t>Open Loop Geo</t>
  </si>
  <si>
    <t>Pass</t>
  </si>
  <si>
    <t>Fail</t>
  </si>
  <si>
    <t>PASS/FAIL2</t>
  </si>
  <si>
    <t>Locations 2</t>
  </si>
  <si>
    <t>Front Door</t>
  </si>
  <si>
    <t>Side/Rear Door</t>
  </si>
  <si>
    <t>Interior Passageway</t>
  </si>
  <si>
    <t>Locations</t>
  </si>
  <si>
    <t>B - Bedroom</t>
  </si>
  <si>
    <t>BC - Basement/Cellar</t>
  </si>
  <si>
    <t>D - Dining Room</t>
  </si>
  <si>
    <t>E - Exterior</t>
  </si>
  <si>
    <t>F - Family Room/Den</t>
  </si>
  <si>
    <t>H - Hallway</t>
  </si>
  <si>
    <t>K - Kitchen</t>
  </si>
  <si>
    <t>L - Living Room</t>
  </si>
  <si>
    <t>O  - Office/Study</t>
  </si>
  <si>
    <t>T - Bathroom Toilet</t>
  </si>
  <si>
    <t>U - Unlisted/Other</t>
  </si>
  <si>
    <t>DECLINED</t>
  </si>
  <si>
    <t>notes</t>
  </si>
  <si>
    <t>Refrigerator Subcontractor</t>
  </si>
  <si>
    <t>Custom Measure Evaluation</t>
  </si>
  <si>
    <t>File</t>
  </si>
  <si>
    <t>Electrician</t>
  </si>
  <si>
    <t>Plumber</t>
  </si>
  <si>
    <t>HVAC Subcontractor</t>
  </si>
  <si>
    <t>Other:</t>
  </si>
  <si>
    <t>Locations 3</t>
  </si>
  <si>
    <t>A - Attic</t>
  </si>
  <si>
    <t>Bedroom</t>
  </si>
  <si>
    <t>C - Cellar/Crawl</t>
  </si>
  <si>
    <t>Cellar/Crawl</t>
  </si>
  <si>
    <t>Exterior</t>
  </si>
  <si>
    <t>F - Family Room</t>
  </si>
  <si>
    <t>Family Room</t>
  </si>
  <si>
    <t>Kitchen</t>
  </si>
  <si>
    <t>Living Room</t>
  </si>
  <si>
    <t>S - Office/Study</t>
  </si>
  <si>
    <t>Office/Study</t>
  </si>
  <si>
    <t>W - Work Area/Shop</t>
  </si>
  <si>
    <t>Work Area/Shop</t>
  </si>
  <si>
    <t>Siding</t>
  </si>
  <si>
    <t>A - Asbestos</t>
  </si>
  <si>
    <t>A</t>
  </si>
  <si>
    <t>AL - Aluminum</t>
  </si>
  <si>
    <t>AL</t>
  </si>
  <si>
    <t>AS - Asphalt</t>
  </si>
  <si>
    <t>AS</t>
  </si>
  <si>
    <t>B - Brick</t>
  </si>
  <si>
    <t>B</t>
  </si>
  <si>
    <t>M - Masonite</t>
  </si>
  <si>
    <t>S - Stucco</t>
  </si>
  <si>
    <t>W - Wood</t>
  </si>
  <si>
    <t>V - Vinyl</t>
  </si>
  <si>
    <t>R-Values</t>
  </si>
  <si>
    <t>&gt; 10"</t>
  </si>
  <si>
    <t>3 - 5"</t>
  </si>
  <si>
    <t>HPwES tab - Duct Sealing</t>
  </si>
  <si>
    <t>HVAC Info</t>
  </si>
  <si>
    <t>Heating 1 Capacity</t>
  </si>
  <si>
    <t>Cooling 1 Capacity</t>
  </si>
  <si>
    <t>Heating 2 Capacity</t>
  </si>
  <si>
    <t>Qualifying Index: Added HPwES Duct Sealing table for calcs</t>
  </si>
  <si>
    <t>Cooling 1 SEER</t>
  </si>
  <si>
    <t>Cooling 1 EER</t>
  </si>
  <si>
    <t>Heating 1 HSPF</t>
  </si>
  <si>
    <t>Heating 1 COP</t>
  </si>
  <si>
    <t>Heating 1 Efficiency</t>
  </si>
  <si>
    <t>Heating 1 %</t>
  </si>
  <si>
    <t>Cooling 1 %</t>
  </si>
  <si>
    <t>Cooling 2 Capacity</t>
  </si>
  <si>
    <t>Cooling 2 EER</t>
  </si>
  <si>
    <t>Cooling 2 SEER</t>
  </si>
  <si>
    <t>Cooling 2 %</t>
  </si>
  <si>
    <t>Heating 2 HSPF</t>
  </si>
  <si>
    <t>Heating 2 COP</t>
  </si>
  <si>
    <t>Heating 2 Efficiency</t>
  </si>
  <si>
    <t>Heating 2 %</t>
  </si>
  <si>
    <t>EFLH Cooling</t>
  </si>
  <si>
    <t>EFLH Heating</t>
  </si>
  <si>
    <t>TRF heating</t>
  </si>
  <si>
    <t>TRF cooling</t>
  </si>
  <si>
    <t>Under-slab</t>
  </si>
  <si>
    <t>Unconditioned Garage</t>
  </si>
  <si>
    <t>kW Savings Cooling</t>
  </si>
  <si>
    <t>kW Savings Heating</t>
  </si>
  <si>
    <t>kWh Savings Cooling</t>
  </si>
  <si>
    <t>kWh Savings Heating</t>
  </si>
  <si>
    <t>MMBTU Savings Cooling</t>
  </si>
  <si>
    <t>MMBTU Savings Heating (kWh)</t>
  </si>
  <si>
    <t>MMBTU Savings Heating (FF)</t>
  </si>
  <si>
    <t>Unconditioned Crawl Space Uninsulated</t>
  </si>
  <si>
    <t>Unconditioned Crawl Space Insulated Floor</t>
  </si>
  <si>
    <t>Unconditioned Crawl Space Insulated Floor &amp; Walls</t>
  </si>
  <si>
    <t>Cooling Distribution Efficiency Baseline *</t>
  </si>
  <si>
    <t>Heating Distribution Efficiency Baseline *</t>
  </si>
  <si>
    <t>Cooling Distribution Efficiency EE *</t>
  </si>
  <si>
    <t>Heating Distribution Efficiency EE *</t>
  </si>
  <si>
    <t>Qualifying Index: Added HPwES Duct Sealing table to HPwES tab Heating and cooling information</t>
  </si>
  <si>
    <t xml:space="preserve">References: Created a new table under Home Performance to show all locations for the duct sealing </t>
  </si>
  <si>
    <t>References: Added columns to new table for TRF and Distribution efficiency</t>
  </si>
  <si>
    <t>Qualifying idex: Separated Heating and Cooling information from duct information on Duct Sealing table</t>
  </si>
  <si>
    <t>Qualifying idex: Added third section under duct sealing for savings calcs</t>
  </si>
  <si>
    <t>11.27.19</t>
  </si>
  <si>
    <t>References: Filled out TRF and Distribution efficiency table</t>
  </si>
  <si>
    <t>Qualifying Index: Linked Duct information table to References tab</t>
  </si>
  <si>
    <t>Duct Information</t>
  </si>
  <si>
    <t>1.0_draft 2.8</t>
  </si>
  <si>
    <t>HPwES tab - Air Sealing</t>
  </si>
  <si>
    <t>HPwES tab - Insulation</t>
  </si>
  <si>
    <t>kWh/CFM</t>
  </si>
  <si>
    <t>kW/CFM</t>
  </si>
  <si>
    <t>Therm/CFM</t>
  </si>
  <si>
    <t>AC Electric Heat</t>
  </si>
  <si>
    <t>Heating &amp; Cooling type</t>
  </si>
  <si>
    <t>Heating &amp; Cooling Type</t>
  </si>
  <si>
    <t>Base</t>
  </si>
  <si>
    <t>Measure</t>
  </si>
  <si>
    <t>kWh/ kSF</t>
  </si>
  <si>
    <t>kW/ kSF</t>
  </si>
  <si>
    <t>therm/ kSF</t>
  </si>
  <si>
    <t>Location Attribute:</t>
  </si>
  <si>
    <t>Insulated</t>
  </si>
  <si>
    <t>Uninsulated</t>
  </si>
  <si>
    <t>Duct Sealing - Attribute</t>
  </si>
  <si>
    <t>% of Heating Load</t>
  </si>
  <si>
    <t>% of Cooling Load</t>
  </si>
  <si>
    <t>(btu)</t>
  </si>
  <si>
    <t>12.1.19</t>
  </si>
  <si>
    <t>Ref Tab: Added table : Duct Attribute - Instulation (Added to name Manager)</t>
  </si>
  <si>
    <t>Ref Tab: Added "Heating &amp; Cooling 1" and "Heating &amp; Cooling 2" to Heating/Cooling Table (Updated Name Manager as needed)</t>
  </si>
  <si>
    <t>HPwES Tab: Added Heating &amp; Cooling 2" section under Heating and Cooling</t>
  </si>
  <si>
    <t>HPwES Tab: Heating and Cooling Section - Added "btu" after Heating and Cooling Capacity fields</t>
  </si>
  <si>
    <t>HPwES Tab: Added field for "Total Ductwork Performed" under Duct Sealing Section</t>
  </si>
  <si>
    <t>HPwES Tab: Added "Location Attribute" field under Duct Sealing for Crawl Space Insulated/Uninsulated</t>
  </si>
  <si>
    <t>HPwES Tab: Changed Duct Square Footage to Linear Footage</t>
  </si>
  <si>
    <t>HPwES Tab: Added %Heating and % Cooling fields under Heating and Cooling Section</t>
  </si>
  <si>
    <t>HPwES Tab: Added Location 3 under duct sealing section</t>
  </si>
  <si>
    <t>1.0_Draft2.9</t>
  </si>
  <si>
    <t>12.2.19</t>
  </si>
  <si>
    <t>HPwES H&amp;S: Removed references to Home Comfort draft 2.4_Testing Development tab</t>
  </si>
  <si>
    <t>1.0_Draft3.0</t>
  </si>
  <si>
    <t>Certificate of Completion - Read and Sign after Work is Completed</t>
  </si>
  <si>
    <t xml:space="preserve">Note to Customer: Please read the following statement before signing. By signing this document, you are attesting that all work has been completed pursuant to your contract. If any part of the work has not been completed, please indicate below. If you have any questions or concerns about any aspect of the work performed, you should resolve them with your contractor BEFORE signing this form. </t>
  </si>
  <si>
    <t>All work has been completed, with the exception of the following:</t>
  </si>
  <si>
    <t>Warranty</t>
  </si>
  <si>
    <t>Contractor Intials</t>
  </si>
  <si>
    <t>Lien Waiver</t>
  </si>
  <si>
    <t>Contractor warrants that the work and the equipment furnished in this installation job comply with the requirements as outlined in the Contractor Participation Agreement with PSEG Long Island. In the event that ant defect in workmanship or equipment is discovered within one (1) year after payment authorization, the Contractor will remedy, repair, correct, or cause to be remedied, repaired, corrected, or replaced at Contractor's expense such defect in equipment or workmanship. The foregoing warranty survives any inspection PSEG Long Island may elect to make.</t>
  </si>
  <si>
    <t>WORK AND EQUIPMENT COVERED BY Home Performance with ENERGY STAR Program FINANCING OR ASSISTED HOME PERFORMANCE SUBSIDY: Contractor hereby waives and releases any and all lien or claim of, or right, to lien, under laws relating to mechanics liens with respect to and on the property referenced above.</t>
  </si>
  <si>
    <t>WORK AND EQUIPMENT NOT COVERED BY HPwES FINANCING: Said waiver does not apply to any work and equipment furnished in this installation job that is not financed by the HPwES Loan or an Assisted Home Performance Subsidy. Any costs incurred by Customer exceeding the sum of the HPwES Loan and the Assisted ome Performance Subsidy, or financed by any means other than HPwES financing or an Assisted Home Performance Subsidy, are subject to a mechanics lien or claim under applicable laws relating to mechanics liens with respect to and on the property referenced above.</t>
  </si>
  <si>
    <t>Customer Affirmation</t>
  </si>
  <si>
    <t>Customer's Acceptance of Work Scope</t>
  </si>
  <si>
    <t>The energy efficiency upgrades to be installed in the property as well as any applicable incentives, loan, and/or subsidy stated herein have been explained thoroughly by the Contractor, are satisfactory, and are hereby accepted. This worksheet accurately describes the work as agreed to through the contract between me and the Home Performance Contractor. The Home Performance Contractor is authorized to do the work as specified in the contract that has been provided to me by my contractor.</t>
  </si>
  <si>
    <t>Program Quality Assurance and Evaluation</t>
  </si>
  <si>
    <t>I agree to participate in program quality assurance and evaluation activities. The purposes of these activities are to provide the Program Administrators with an opportunity to ensure that the eligible measures are installed consistent with program standards, to assess energy savings and to evaluate program effectiveness. Program quality assurance and evaluation activities may include in-site visits, questionnaries and interviews.</t>
  </si>
  <si>
    <t>As a value added service, the PSEG Long Island Home Performance with ENERGY STAR Program offers participants the option of having a post-completion inspection performed on their home. If you are interested in receiving this valuable, FREE service, please contact PSEG Long Island to schedule an appointment. Availability depends upon number of requests received.</t>
  </si>
  <si>
    <t>Customer Statement</t>
  </si>
  <si>
    <t>The undersigned hereby certifies personal ownership of the home specified above, that all materials and equipment included in the construction contract (work order, job order, bd summary, proposal, invoice, etc.) have been furnished and installed by the Contractor, and that the work has been completed pursuant to the contract. In addition, I have not obtained the benefit of and will not receive any cash payment, rebate, cash bonus, sales commission, or anything from the contractor as inducement to enter into the HPwES Agreement or proceed with work. If there is a HPwES Loan Agreement, I also agree to the terms specified in the HPwES Loan Agreement and authorize payment to the above Contractor.</t>
  </si>
  <si>
    <t>Homeowner's Name (Print)</t>
  </si>
  <si>
    <t>Contractor's Business Name (Print)</t>
  </si>
  <si>
    <t>Signature</t>
  </si>
  <si>
    <t>12.3.19</t>
  </si>
  <si>
    <t>Project Completion Form HPwES Tab: Added tab per current HPwES requirements</t>
  </si>
  <si>
    <t>1.0_Draft 3.1</t>
  </si>
  <si>
    <t>Wall Insulation - HVAC: AC with Gas Heat</t>
  </si>
  <si>
    <t>Wall Insulation - HVAC: Heat Pump</t>
  </si>
  <si>
    <t>Wall Insulation - HVAC: AC with Electric Heat</t>
  </si>
  <si>
    <t>Wall Insulation - HVAC: Electric Heat No AC</t>
  </si>
  <si>
    <t>Wall Insulation - HVAC: Gas Heat No AC</t>
  </si>
  <si>
    <t>Ceiling Insulation - HVAC: AC with Gas Heat</t>
  </si>
  <si>
    <t>Ceiling Insulation - HVAC: Heat Pump</t>
  </si>
  <si>
    <t>Ceiling Insulation - HVAC: AC with Electric Heat</t>
  </si>
  <si>
    <t>Ceiling Insulation - Electric Heat No AC</t>
  </si>
  <si>
    <t>Ceiling Insulation - HVAC: Gas Heat No AC</t>
  </si>
  <si>
    <t>12.05.19</t>
  </si>
  <si>
    <t xml:space="preserve">Ref Tab: Added in Wall Insulation and Ceiling Insulation Tables per NYS TRM V 7 </t>
  </si>
  <si>
    <t>1.0_Draft 3.3</t>
  </si>
  <si>
    <t>Heating &amp; Cooling (1)</t>
  </si>
  <si>
    <t>Heating &amp; Cooling (1&amp;2)</t>
  </si>
  <si>
    <t>12.06.19</t>
  </si>
  <si>
    <t>HPwES Tab: Added conditional formatting to duct section to hide "Location Attribute" fields unless Crawl Space is selected</t>
  </si>
  <si>
    <t>HPwES Tab: Removed option for "Cooling" and "heating" from system drop down and replaced with "Heating and Coolin (1)" and "Heating and Cooling (1&amp;2)"</t>
  </si>
  <si>
    <t>Unconditioned Crawl Space</t>
  </si>
  <si>
    <t>Unconditioned Basement Insulated</t>
  </si>
  <si>
    <t>Unconditioned Basement Uninsulated</t>
  </si>
  <si>
    <t xml:space="preserve">Unconditioned Attic </t>
  </si>
  <si>
    <t xml:space="preserve">Unconditioned Garage </t>
  </si>
  <si>
    <t>Insulated Floor</t>
  </si>
  <si>
    <t>Insulated Floor &amp; Walls</t>
  </si>
  <si>
    <t>Name Manager: Changed Duct_Location range</t>
  </si>
  <si>
    <t>References: Added Unconditioned Basement Uninsulated to Duct Location &amp; TRF table</t>
  </si>
  <si>
    <t>References: Expanded Duct Attribute table</t>
  </si>
  <si>
    <t>1.0_Draft 3.5</t>
  </si>
  <si>
    <t>Qualifying Index: Added Additional Attribute and Duct Info columns to Duct Information Table under Duct Sealing</t>
  </si>
  <si>
    <t>Qualifying Index: Linked Additional Attribute to HPwES tab</t>
  </si>
  <si>
    <t>Qualifying Index: Updated TRF formulas</t>
  </si>
  <si>
    <t>Heating 1
Fuel</t>
  </si>
  <si>
    <t>Heating 2
Fuel</t>
  </si>
  <si>
    <t>Qualifying Index: Added Heating 1 Fuel and Heating 2 Fuel to HVAC Info Table under Duct Sealing</t>
  </si>
  <si>
    <t>12.09.19</t>
  </si>
  <si>
    <t>HPwES: Changed Data Validation for Duct Attribute to reference different cells for Crawl Spaces</t>
  </si>
  <si>
    <t>1.0_Draft 3.6</t>
  </si>
  <si>
    <t>Air Sealing Corrections</t>
  </si>
  <si>
    <t>Fn</t>
  </si>
  <si>
    <t>Fh</t>
  </si>
  <si>
    <t>Electric Heat Pump</t>
  </si>
  <si>
    <t>AC Fossil Fuel Heat</t>
  </si>
  <si>
    <t>References: Differentiated between Electric Resistance and Electric Heat Pump for Heating Sources under Home Performance w/ ES</t>
  </si>
  <si>
    <t>Air Sealing Information</t>
  </si>
  <si>
    <t>Qualifying Index added Air Sealing Information table which will Show CFM50 info, HVAc info for kWh/CFM lookups, kW/CFM lookups, and Therm/CFM lookups</t>
  </si>
  <si>
    <t xml:space="preserve">kWh Savings </t>
  </si>
  <si>
    <t>MMBTU (FF) Savings</t>
  </si>
  <si>
    <t>Square Foot of Insulation Installed</t>
  </si>
  <si>
    <t>Max</t>
  </si>
  <si>
    <t>Min</t>
  </si>
  <si>
    <t>Base/Measure R-Value</t>
  </si>
  <si>
    <t>HPwES: Changed Existing R-Value data validation for Insulation to greater than or equal to 0</t>
  </si>
  <si>
    <t>Qualifying Index: Added Insulation Info Tbale</t>
  </si>
  <si>
    <t>References: Expanded Insulation tables to include "in between" values of installed insulation. Values found through linear interpolation</t>
  </si>
  <si>
    <t>Installed Square Footage:</t>
  </si>
  <si>
    <t>Total Cost:</t>
  </si>
  <si>
    <t>Rebate:</t>
  </si>
  <si>
    <t>0-5</t>
  </si>
  <si>
    <t>14-17</t>
  </si>
  <si>
    <t>Existing R-Values</t>
  </si>
  <si>
    <t>Installed R-Values</t>
  </si>
  <si>
    <t>18+</t>
  </si>
  <si>
    <t>13-16</t>
  </si>
  <si>
    <t>17-18</t>
  </si>
  <si>
    <t>19-20</t>
  </si>
  <si>
    <t>21-24</t>
  </si>
  <si>
    <t>25-26</t>
  </si>
  <si>
    <t>27+</t>
  </si>
  <si>
    <t>11-12</t>
  </si>
  <si>
    <t>5-11</t>
  </si>
  <si>
    <t>12-13</t>
  </si>
  <si>
    <t>12.10.19</t>
  </si>
  <si>
    <t>References: Added a table for Existing and Installed R Values - Added both to Name Manager - "Insulation_Existing_Rvalue" and "Insulation_Installed_Rvalue"</t>
  </si>
  <si>
    <t>1.0_Draft3.7</t>
  </si>
  <si>
    <t>HPwES Tab: Added Total Cost and Rebate fields to each section (Duct Sealing, Air Sealing, and Insulation)</t>
  </si>
  <si>
    <t>HPwES Tab: Insulation - Existing R Value and R Value Installed fields - Added data validation to both fields to populate with drop down selections based on "Insulation_Existing_Rvalue" 
and "Insulation_Installed_Rvalue"</t>
  </si>
  <si>
    <t>HpwES Tab: Air Sealing - Added "cubic feet" after Conditioned Air Volume</t>
  </si>
  <si>
    <t>References: Expanded Insulation tables to include "in between" values of installed insulation. Values found through linear interpolation (done for HVAC:Heat Pump)</t>
  </si>
  <si>
    <t>12.11.19</t>
  </si>
  <si>
    <t>References: Expanded Insulation tables to include "in between" values of installed insulation. Values found through linear interpolation (done for HVAC: AC with Electric Heart)</t>
  </si>
  <si>
    <t>HPwES Tab: Removed drop down data validation from R-Value fields- Updated fields to reflect Whole Number Data Validation and added validation to ensure installed R value is greater than existing</t>
  </si>
  <si>
    <t>1.0_Draft3.8</t>
  </si>
  <si>
    <t>References: Expanded Insulation tables to include "in between" values of installed insulation. Values found through linear interpolation (done for Ceiling HVAC:AC with Gas)</t>
  </si>
  <si>
    <t>1.0_Draft3.9</t>
  </si>
  <si>
    <t>Summer kW Savings</t>
  </si>
  <si>
    <t>Delta kW/1000sqft</t>
  </si>
  <si>
    <t>Delta kWh/1000sqft</t>
  </si>
  <si>
    <t>Delta therm/1000sqft</t>
  </si>
  <si>
    <t>References: Expanded Insulation tables to include "in between" values of installed insulation. Values found through linear interpolation (done for Ceiling HVAC:AC with Electric Heat)</t>
  </si>
  <si>
    <t>References: Expanded Insulation tables to include "in between" values of installed insulation. Values found through linear interpolation (done for Ceiling HVAC:Heat Pump)</t>
  </si>
  <si>
    <t>References: Expanded Insulation tables to include "in between" values of installed insulation. Values found through linear interpolation (done for Ceiling HVAC:Gas Heat only)</t>
  </si>
  <si>
    <t>References: Expanded Insulation tables to include "in between" values of installed insulation. Values found through linear interpolation (done for Ceiling HVAC:Electric Heat only)</t>
  </si>
  <si>
    <t>Qualifying Index: Finished Calculating Delta (kW,kWh,therms)/1000 sqft</t>
  </si>
  <si>
    <t>Qualifying Index: Removed extra rows from Duct Sealing, Air Sealing, and Insulation</t>
  </si>
  <si>
    <t>References: Updated Distribution Efficiencies for Duct Sealing to Average R-4+ and R-8+ Insulation for post sealing efficiency</t>
  </si>
  <si>
    <t>12.12.19</t>
  </si>
  <si>
    <t>References: Expanded Insulation tables to include "in between" values of installed insulation. Values found through linear interpolation (done for HVAC: Electric Heat No AC)</t>
  </si>
  <si>
    <t>References: Expanded Insulation tables to include "in between" values of installed insulation. Values found through linear interpolation (done for HVAC: Gas Heat No AC)</t>
  </si>
  <si>
    <t>Duct_Heating_Cooling System</t>
  </si>
  <si>
    <t>Heating (1)</t>
  </si>
  <si>
    <t>Cooling (1)</t>
  </si>
  <si>
    <t>Heating (2)</t>
  </si>
  <si>
    <t>Cooling (2)</t>
  </si>
  <si>
    <t>System Impacted:</t>
  </si>
  <si>
    <t>HPwES Tab: Ductwork - Added a field to each duct section to collect "R-Vaue Installed"</t>
  </si>
  <si>
    <t>HPwES Tab: Ductwork - Added a field to capture "System Impacted" - Added a drop down from the Name Manager "Ductwork_HeatingCooling_System"</t>
  </si>
  <si>
    <t>Ref Tab: Added a table for Duct Heating and Cooling System - Added to Name Manager</t>
  </si>
  <si>
    <t>Basement Ceiling</t>
  </si>
  <si>
    <t>Heating &amp; Cooling (2)</t>
  </si>
  <si>
    <t>Qualifying Index: Added logic for HVAC portion of Duct Sealing</t>
  </si>
  <si>
    <t>1.0_Draft4.2</t>
  </si>
  <si>
    <t>12.13.19</t>
  </si>
  <si>
    <t>Worksheet: Removed Conditional Formatting in H52:H61 so that you do not have to enter "HP". All systems should be heat pumps</t>
  </si>
  <si>
    <t>1.0_Draft4.3</t>
  </si>
  <si>
    <t>Worksheet: Expanded C52:C61 Data Validation to include PTHPs</t>
  </si>
  <si>
    <t>Account Holder Name:</t>
  </si>
  <si>
    <t>Customer Information: Chnaged "Customer Name" to "Account Holder Name"</t>
  </si>
  <si>
    <t>Qualifying Index: Adjusted Manual J Pass/Fail to require Manual J for all Whole House Systems, and Ducted non-Whole House only</t>
  </si>
  <si>
    <t>Qualifying Index: Changed Logic in Savings formula to account for new Manual J PASS/FAIL criteria</t>
  </si>
  <si>
    <t>Heating (1&amp;2)</t>
  </si>
  <si>
    <t>Cooling (1&amp;2)</t>
  </si>
  <si>
    <t>Qualifying Index: Added Heating FF Laod to Duct Info under Duct sealing</t>
  </si>
  <si>
    <t>Total kWh Savings</t>
  </si>
  <si>
    <t>12.16.19</t>
  </si>
  <si>
    <t>1.0_Draft4.4</t>
  </si>
  <si>
    <t>MMBTU (kWh) Savings</t>
  </si>
  <si>
    <t>Cool Homes</t>
  </si>
  <si>
    <t>HPwES-100</t>
  </si>
  <si>
    <t>HPwES-105</t>
  </si>
  <si>
    <t>HPwES-106</t>
  </si>
  <si>
    <t>HPwES-107</t>
  </si>
  <si>
    <t>HPwES-110</t>
  </si>
  <si>
    <t>HPwES-115</t>
  </si>
  <si>
    <t>HPwES-120</t>
  </si>
  <si>
    <t>HPwES-125</t>
  </si>
  <si>
    <t>HPwES-130</t>
  </si>
  <si>
    <t>HPwES-135</t>
  </si>
  <si>
    <t>HPwES-Systems</t>
  </si>
  <si>
    <t>HPwES Duct Sealing</t>
  </si>
  <si>
    <t xml:space="preserve">Conditioned Space </t>
  </si>
  <si>
    <t>Look up</t>
  </si>
  <si>
    <t>Measure Codes</t>
  </si>
  <si>
    <t>HPwES Air Sealing</t>
  </si>
  <si>
    <t>HPwES Insulation</t>
  </si>
  <si>
    <t>12.17.19</t>
  </si>
  <si>
    <t>Qualifying Index: Adjusted Dut Sealing Savings</t>
  </si>
  <si>
    <t>Qualifying Index: Adjusted Air Sealing Savings</t>
  </si>
  <si>
    <t>Qualifying Index: Adjusted Insulation Savings</t>
  </si>
  <si>
    <t>Qualifying Index: Added Duct Sealing lookup</t>
  </si>
  <si>
    <t>Qualifying Index: Added Air Sealing lookup</t>
  </si>
  <si>
    <t>Qualifying Index: Added Insulation lookup</t>
  </si>
  <si>
    <t>References: Created a HP measure codes table</t>
  </si>
  <si>
    <t>References: Changed Sealing to Ceiling in cell AN68</t>
  </si>
  <si>
    <t xml:space="preserve">Rebates </t>
  </si>
  <si>
    <t>Qualifying Index: Added Rebate calculation to all three measures</t>
  </si>
  <si>
    <t>References: Added Rebate lookup table</t>
  </si>
  <si>
    <t>HPwES: Linked Rebate to Qualifying Index tab calculations</t>
  </si>
  <si>
    <t>Prop0: Linked Measure codes to Qualifying Index tab</t>
  </si>
  <si>
    <t>1.0_Draft4.5</t>
  </si>
  <si>
    <t>HPwES: Changed formulas in C146, I146, C158, I158, C170, and I170 to look for "Basement Ceiling"</t>
  </si>
  <si>
    <t>HPwES: Changed Conditional formatting in D146, J146, D158, J158, D170, and J170 to look for "Basement Ceiling"</t>
  </si>
  <si>
    <t>Account Holder Name:
(Print)</t>
  </si>
  <si>
    <t>Customer Address:</t>
  </si>
  <si>
    <t>EFS Project ID Number:</t>
  </si>
  <si>
    <t>Customer Incentive Amount:</t>
  </si>
  <si>
    <t>Customer Incentive Type:</t>
  </si>
  <si>
    <t>Loan Type Requested:</t>
  </si>
  <si>
    <t>Total Loan Amount*:</t>
  </si>
  <si>
    <t>*Indicate if Loan Amount includes 
$150 EFS Fee</t>
  </si>
  <si>
    <t>Customer Zip:</t>
  </si>
  <si>
    <t>Customer City:</t>
  </si>
  <si>
    <t>Contractor:</t>
  </si>
  <si>
    <t>EFS Pre-Approval Tab: Added this new tab to build  EFS Loan approval letter using fields provided by Steve Wagner</t>
  </si>
  <si>
    <t>Whole House Projects - Income Eligible</t>
  </si>
  <si>
    <t>Electric Resistance Heating Replacement</t>
  </si>
  <si>
    <t>Electric Resistance Heating Replacement - Income Eligible</t>
  </si>
  <si>
    <t>Macro: Udated Check box Macro for Whole House, Income Eligible, and Electric Resistance to Hide/Unhide tables</t>
  </si>
  <si>
    <t>1.0_Draft4.7</t>
  </si>
  <si>
    <t>Regular Offering</t>
  </si>
  <si>
    <t>Income Eligible</t>
  </si>
  <si>
    <t>1.0_Draft4.8</t>
  </si>
  <si>
    <t>12.18.19</t>
  </si>
  <si>
    <t>Qualifying Index: Changed Rebate calculations for HP measures to change to LMI if "Income Eligible" is selected</t>
  </si>
  <si>
    <t>References: Extended Rebate lookup table to include LMI rebates</t>
  </si>
  <si>
    <t>LMI Y/N</t>
  </si>
  <si>
    <t>Macro: Module5: Un-comment New Construction Option button</t>
  </si>
  <si>
    <t>Macro: Module5: Change New Construction Clear range to be consistent with added rows, and move unlock to after the clear content</t>
  </si>
  <si>
    <t>References: Added Gas/Oil split for New Construction in table N2:O4</t>
  </si>
  <si>
    <t xml:space="preserve">References: Changed New Construction CO2 to weighted average of Gas and Oil </t>
  </si>
  <si>
    <t>Calculations: Changed Displacement factor formula</t>
  </si>
  <si>
    <t>References: Changed New Construction Efficiency to weighted average of Gas and Oil</t>
  </si>
  <si>
    <t>Total Project Cost</t>
  </si>
  <si>
    <t>Please fill in appropriate project data in grey fields.</t>
  </si>
  <si>
    <t>This form is to be used only for Home Comfort and Home Performance with ENERGY STAR projects where a loan from EFS is to be provided to the customer.</t>
  </si>
  <si>
    <t>EFS Pre-Approval Tab: Finished Tab based on SW comments. Added conditional formatting to generate fields based on code 1043</t>
  </si>
  <si>
    <t>1.0_Draft4.9</t>
  </si>
  <si>
    <r>
      <t xml:space="preserve">Loan Project ID Number:
</t>
    </r>
    <r>
      <rPr>
        <b/>
        <sz val="9"/>
        <color theme="1"/>
        <rFont val="Arial Narrow"/>
        <family val="2"/>
      </rPr>
      <t>(if applicable)</t>
    </r>
  </si>
  <si>
    <t>Loan Project ID:
(if applicable)</t>
  </si>
  <si>
    <t>I would like customer rebate: (Check One)</t>
  </si>
  <si>
    <t>(must complete a Rebate Assignment Form/This opion may not be offered to all Contractors)</t>
  </si>
  <si>
    <t>PCF Tab: Added a field under Customer Information to captuer "Loan Project ID" and linked to EFS Project ID cell on EFS Pre-App Tab</t>
  </si>
  <si>
    <t>PCF Tab: Added "Loan - Rebate assigned to EFS" as a radio button for customer rebate method</t>
  </si>
  <si>
    <t>HPwES PCF Tab: Added a field under Customer Information to captuer "Loan Project ID" and linked to EFS Project ID cell on EFS Pre-App Tab</t>
  </si>
  <si>
    <t>Hpwes PCF Tab: Added "Loan - Rebate assigned to EFS" as a radio button for customer rebate method</t>
  </si>
  <si>
    <t>1.0_Draft5</t>
  </si>
  <si>
    <t>Required Docs Tab: Added Required Documents for HPwES, Loan, and LMI</t>
  </si>
  <si>
    <t>Option 3: Weigh in (Can be used for any system ONLY when outdoor ambient temperature is below OEM specifications):</t>
  </si>
  <si>
    <t>Does this capacity include an allowance for an evaportator?</t>
  </si>
  <si>
    <t xml:space="preserve"> x</t>
  </si>
  <si>
    <t>(C) Driers, Accumulator, and Evaporator Capcities (if not included above)</t>
  </si>
  <si>
    <t xml:space="preserve">Total charge weighed in (A) + (B) + (C) </t>
  </si>
  <si>
    <t>1.0_Draft5.1</t>
  </si>
  <si>
    <t>Airflow tabs: Updated all air flow tabs 2-10 to include section 3 like tab 1</t>
  </si>
  <si>
    <t>12.19.19</t>
  </si>
  <si>
    <t>PCF Tabs - Removed "Loan-Rebate assigned to EFS" radio buttons</t>
  </si>
  <si>
    <t>Customer Info Tab - Removed "Loan" checkbox associated with Rebate Payment Type</t>
  </si>
  <si>
    <t>1.0_Draft5.2</t>
  </si>
  <si>
    <t>Guidelines Tab: Reworked guidelnes tab to include specifics for All Project types, Home Comfort Projects, and HPwES Projects</t>
  </si>
  <si>
    <t>4)</t>
  </si>
  <si>
    <t>1.0_Draft5.3</t>
  </si>
  <si>
    <t>Name Managed - Added "HP_Content1" "HP_Content2", "HP_Content3" and tied to HPwES tab "Clear Input" Button - Updated Code as well</t>
  </si>
  <si>
    <t>1.0_Draft5.4</t>
  </si>
  <si>
    <t>Customer Information: Changed Primary Heating to Existing Primary Heating</t>
  </si>
  <si>
    <t>References: Updated rebates for non-whole house and non electric replacements</t>
  </si>
  <si>
    <t>PSEG Long Island may require additional documentation not listed above as deemed necessary to properly process any rebates.</t>
  </si>
  <si>
    <t>Partial House Projects</t>
  </si>
  <si>
    <t>12.20.19</t>
  </si>
  <si>
    <t>Tables: Adjusted columns to show contractor incentive is (per Project)</t>
  </si>
  <si>
    <t>Tables: Updated Contractor incentive</t>
  </si>
  <si>
    <t>1.0_Draft5.6</t>
  </si>
  <si>
    <t>Worksheet: Added adjusted tables</t>
  </si>
  <si>
    <t>References: Updated Partial Rebate Values to match "SystemToTonNonWHashp_v1" proposal</t>
  </si>
  <si>
    <t>EFS Pre-Approval: Adjusted Customer Incentive formula to change "" values to 0</t>
  </si>
  <si>
    <t>Any hard copy documents provided by Customer must be scanned and emailed  to PSEG Long Island or uploaded to the Lead Partner Portal by a participating Partner</t>
  </si>
  <si>
    <t>12.21.19</t>
  </si>
  <si>
    <t xml:space="preserve">Review of formatting </t>
  </si>
  <si>
    <t>1.0_draft5.7</t>
  </si>
  <si>
    <t>12.23.19</t>
  </si>
  <si>
    <t>Integrated Controls: Added link to NYSERDA Qualified Integrated Controls list</t>
  </si>
  <si>
    <t>1.0_draft5.8</t>
  </si>
  <si>
    <t>1.0_draft5.9</t>
  </si>
  <si>
    <t>Integrated Controls: If Incomeligible is selected the rebate is $750 for an integrted control</t>
  </si>
  <si>
    <t>Worksheet: Partial House rebate typo incetive was change to incentive</t>
  </si>
  <si>
    <t>Dual Fuel vs. Kit</t>
  </si>
  <si>
    <t>1.6.2020</t>
  </si>
  <si>
    <t>References: Added "per Project", "per ton", and "per control" to the appropriate rebate and incentive columns (X21:Z21) [Voltz request]</t>
  </si>
  <si>
    <t>1.6.20</t>
  </si>
  <si>
    <t>References: changed Learning thermostat rebate to $50 per control</t>
  </si>
  <si>
    <t>1.0_draft1.6</t>
  </si>
  <si>
    <t>Learning Smart Thermostat</t>
  </si>
  <si>
    <t>Smart T-stat: Customer Incentive now shows $35 for Wifi Enabled and $50 for Learning</t>
  </si>
  <si>
    <t>Workbook Locked for Use</t>
  </si>
  <si>
    <t>version 1.0</t>
  </si>
  <si>
    <t>Worksheet: PTHP can receive Contractor Incentive</t>
  </si>
  <si>
    <t>1.7.20</t>
  </si>
  <si>
    <t>Worksheet: Allow PTHP to receive contractor incentive</t>
  </si>
  <si>
    <t>References: Removed Ductless ASHP tier 2</t>
  </si>
  <si>
    <t>Qualified index: Whole House Scenario should look for ReferencesA21=2 not 4</t>
  </si>
  <si>
    <t>draft1</t>
  </si>
  <si>
    <t>Locked and finalized workbook as Version 1.1 (Version 1.0 was sent internally but with a glitch)</t>
  </si>
  <si>
    <t>Version 1.1</t>
  </si>
  <si>
    <t>3.4.20</t>
  </si>
  <si>
    <t>Changed version to 1.2 in preparation of Q2 launch</t>
  </si>
  <si>
    <t>Version 1.2_draft 1</t>
  </si>
  <si>
    <t>version 1.1_draft1</t>
  </si>
  <si>
    <t>draft 1</t>
  </si>
  <si>
    <t>Custom Information: Added Data validation to the Building Size cell so only numbers are entered</t>
  </si>
  <si>
    <t>References: Added Freeze Stat to the integrated drop dpwn list for Technology Type</t>
  </si>
  <si>
    <t>Qualifying Index: Chnaged Connected Cooling and Heating to Connected Heating and Cooling</t>
  </si>
  <si>
    <t>Prop0: Changed per unit rebate to reference Qualifying Index column U</t>
  </si>
  <si>
    <t>Prop0: Changed Measure code lookup to reference Qualifying Index column R</t>
  </si>
  <si>
    <t>References: Added Freeze Stat to the Home Comfort measure code table</t>
  </si>
  <si>
    <t>HPwES: Added Data Validation message for r-values less than 11 for installed insulation</t>
  </si>
  <si>
    <t>Integrated Controls: adjusted data validation to allow user entry of Manufacturer name and Model. (This should only be used for freeze stats.)</t>
  </si>
  <si>
    <t>References: Added Freeze Stat Rebate of $350</t>
  </si>
  <si>
    <t>Integrated Controls: Added Instruction "4" stating that the Freeze Stat must switch at 32 degrees or less</t>
  </si>
  <si>
    <t>Integrated Controls: added "Freeze Stats" to rebate table</t>
  </si>
  <si>
    <t xml:space="preserve">Integrated Controls: Added 2nd row </t>
  </si>
  <si>
    <t>Post-Inspection: Added addition row for integrated contrls</t>
  </si>
  <si>
    <t>Qualifying_Index: Added row to Integrated control table</t>
  </si>
  <si>
    <t>Qualifying_Index: Added column to Integrated control table that calculates the rebate, but doesn't allow more than one</t>
  </si>
  <si>
    <t>Integrated Controls: Linked rebate column to the Qualifying Index</t>
  </si>
  <si>
    <t>3.6.20</t>
  </si>
  <si>
    <t>Draft 2</t>
  </si>
  <si>
    <t>Qualifying Index: Changed Whole House Manual J requirements to 90%-125%</t>
  </si>
  <si>
    <t>Home Comfort Worksheet: Changed AHRI heating header to say AHRI Heating BTUh @ 17⁰F</t>
  </si>
  <si>
    <t>Cooling kWh</t>
  </si>
  <si>
    <t>Heating kWh</t>
  </si>
  <si>
    <t>Draft 3</t>
  </si>
  <si>
    <t>3.12.20</t>
  </si>
  <si>
    <t>Qualifying Index: Added Heating QIV kWh column</t>
  </si>
  <si>
    <t>Qualifying Index: Adjusted QIV kWh to Cooling QIV kWh</t>
  </si>
  <si>
    <t>Qualifying Index: Adjusted QIV kW column</t>
  </si>
  <si>
    <t>Qualifying Index: Adjusted Heating kWh Savings to reference new heating QIV kWh</t>
  </si>
  <si>
    <t xml:space="preserve">HPwES: Added formula next t rebate when rebate is capped that the rebate cannot be higher than the cost </t>
  </si>
  <si>
    <t>Air Flow References: Created</t>
  </si>
  <si>
    <t>References: Cut and pasted Air flow tables to Air Flow References</t>
  </si>
  <si>
    <t>References: Moved Home Comfort Measure Code table and HPwES info to columns AB through BP</t>
  </si>
  <si>
    <t>EFS Pre-Approval: Added field for Steve</t>
  </si>
  <si>
    <t>Non-Incentive Measure Cost Total:</t>
  </si>
  <si>
    <t>Capacity of Refrigerant Shipped With Outdoor Unit:</t>
  </si>
  <si>
    <t>Allowed Line Set Length:</t>
  </si>
  <si>
    <t>3.20.20</t>
  </si>
  <si>
    <t>Draft 4</t>
  </si>
  <si>
    <t>Qualifying Index: Added QIV savings to heating kWh savings when fuel switching is present</t>
  </si>
  <si>
    <t>Qualifyinig Index: Adjusted MMBTU Heating from kWh formula for QIV savings</t>
  </si>
  <si>
    <t>Prop0: Integrated Control formulas were extended to include Freeze Stats</t>
  </si>
  <si>
    <t>Draft 5</t>
  </si>
  <si>
    <t>Air Flow Tabs 1-10: Fixed workinf under Option 3</t>
  </si>
  <si>
    <t>3.24.20</t>
  </si>
  <si>
    <t>Draft 6</t>
  </si>
  <si>
    <t>Required Documents Tab: Updated Responsible Party for Pre/Post INS to "Customer and PSEG LI Representative"</t>
  </si>
  <si>
    <t>Ts and Cs/Required Documents/Guidelines Tabs: Added box for initials to the bottom of each tab</t>
  </si>
  <si>
    <t>Worksheet Tab: Added the following language to the "Important" header:  *Pre and Post Inspections are required for all projects. Where a Whole House installation is completed, the PSEG Long Island Inspector will need to access the inside of the home to verify the removal of the existing heating source and confirm installation of integrated controls.</t>
  </si>
  <si>
    <t>Ts and CS Tab: Line 4 - added Pre and Post inspections are required (in bold text)</t>
  </si>
  <si>
    <t>Ts and Cs Tab: Line 10 - Added language that the ASHP must be the primary heating source in the space</t>
  </si>
  <si>
    <t>Guidelnes Tab: Added language to line 25 stating that the Whole House ASHP must meet 100-130 of the load and also be used at that capacity</t>
  </si>
  <si>
    <t>Guidelines Tab: Added additional language and made edits to existing language as per Josh Ebner (PA for Home Comfort ) - Also re-organized lines per JE's request</t>
  </si>
  <si>
    <r>
      <t xml:space="preserve">Qualifying Index: </t>
    </r>
    <r>
      <rPr>
        <b/>
        <sz val="11"/>
        <color theme="1"/>
        <rFont val="Calibri"/>
        <family val="2"/>
        <scheme val="minor"/>
      </rPr>
      <t>Changed Whole House Manual J requirements FROM 90%-125% TO 100%-130%</t>
    </r>
  </si>
  <si>
    <t>HPwES Tab: Removed COP field from Cooling System 1 and 2</t>
  </si>
  <si>
    <t>Efficiency:</t>
  </si>
  <si>
    <t>HPwES Tab: Name Manager - "HP Content 1" - Updated cells to account for removal of COP fields (this allows Clear Inputs button to function properly)</t>
  </si>
  <si>
    <t>HPwES Tab: Corrected the misspelling of "Efficiency"</t>
  </si>
  <si>
    <t>Contractor agrees to complete these items and will notify TRC Companies upon their completion. Job will not be credited fully as a completed project until the Contractor and Customer sign a new Certificate of Completion that has no pending items.</t>
  </si>
  <si>
    <t>3.26.20</t>
  </si>
  <si>
    <t>Had to re-save draft as 6.1 - draft 6 was giving an error message that draft was in-use, but it was not</t>
  </si>
  <si>
    <t>Draft6.1</t>
  </si>
  <si>
    <t xml:space="preserve">As the payee of the above referenced Home Comfort Rebate, I, Customer, hereby assign my rights and interest in the payment of said rebate to Assignee as indicated below.
I certify that the electric account listed above is not in arrears and that I have supplied the contractor with a copy of the latest PSEGLI bill for the listed account, showing that the account is active and that there is no previous balance owed on the account.  Rebates can not be assigned to the contractor if the PSEGLI account is in arrears.
If the PSEGLI account goes into arrears while the rebate is being processed, PSEGLI will apply the Home Comfort Rebate to those arrears before remitting the balance of the rebate, if any, to my Assignee.  I also understand that PSEGLI’s application of all, or a portion of, the Rebate to any arrears on my PSEGLI account does not reduce the amount I am responsible to pay my Assignee (I will still owe my contractor the Rebate amount applied to my PSEGLI account). Please forward my rebate to the Assignee listed directly above. 
I also understand that I am responsible to inform PSEGLI (via email to homecomfortli@pseg.com or in writing to PSEG Long Island, Home Comfort Program, 395 N Service Rd, Melville, NY 11747) of any changes to this assignment.
</t>
  </si>
  <si>
    <t>4.6.2020</t>
  </si>
  <si>
    <t>T&amp;Cs: Formated "Initials" cell to not "Locked"</t>
  </si>
  <si>
    <t>Draft 7</t>
  </si>
  <si>
    <t>Guidelines: Formated "Initials" cell to not "Locked"</t>
  </si>
  <si>
    <t>Required Docs: Formated "Initials" cell to not "Locked"</t>
  </si>
  <si>
    <t>Qualilfying Index: Dragged down cell R42 to R51</t>
  </si>
  <si>
    <t>Integrated Controls: Changed wording in Row 4 to"If the customer will have fossil fuel back up heat present after the proposed equipment is installed, Integrated Controls, Freeze Stats, or Dual Fuel Thermostats must be installed. For Ductless Systems, installation of Integrated Controls or Freeze Stats is required."</t>
  </si>
  <si>
    <t>Air Flow References: testing ranges C11:F12</t>
  </si>
  <si>
    <t>Smart Tstats: Hide column J</t>
  </si>
  <si>
    <t>Smart Tstats: Hide row 31</t>
  </si>
  <si>
    <t>Ducted Air Source Heat Pumps</t>
  </si>
  <si>
    <t>4.8.2020</t>
  </si>
  <si>
    <t>Prop0: Changed per unit incentive to reference Integrated Controls</t>
  </si>
  <si>
    <t>Draft 8</t>
  </si>
  <si>
    <t>Prop0: Changed Product Line and Product Class of Integrated Controls to only show up if measure code shows up</t>
  </si>
  <si>
    <t>EFS Approval: Changed Customer Incentive amount to add up the individual Home Comfort tabs</t>
  </si>
  <si>
    <t>Total Customer Down Payment:</t>
  </si>
  <si>
    <t>T&amp;Cs: Added #5. to specify ccASHPs must be NEEP listed</t>
  </si>
  <si>
    <t>4.9.2020</t>
  </si>
  <si>
    <t>Integrated Controls: Added language to Instructions to inform customer that Freeze Stat inputs are manual entries and not selectable in the dropdown</t>
  </si>
  <si>
    <t>Draft 9</t>
  </si>
  <si>
    <t>4.10.2020</t>
  </si>
  <si>
    <t>Worksheet: Removed "@ 17 degrees" from heating</t>
  </si>
  <si>
    <t>Draft 10</t>
  </si>
  <si>
    <t>Worksheet: Changed Partial Home Eligibility Table to have ccASHPs be tier 2</t>
  </si>
  <si>
    <t>ANSI/ACCA Standard 5</t>
  </si>
  <si>
    <t>ANSI/ACCA Standard 6</t>
  </si>
  <si>
    <t>Fossil Fuel Only</t>
  </si>
  <si>
    <t>References: Changed AX90 to "Fossil Fuel Only"</t>
  </si>
  <si>
    <t>Qualifying Index: Extended formula in AG78 down to other rows</t>
  </si>
  <si>
    <t>+-3</t>
  </si>
  <si>
    <t>60-114</t>
  </si>
  <si>
    <t>50-114</t>
  </si>
  <si>
    <t>Measured Super Heat</t>
  </si>
  <si>
    <t>+-5</t>
  </si>
  <si>
    <t>Air Flow References: Chnaged CFM Air flow range to a formula based on ACCA Standard 5</t>
  </si>
  <si>
    <t>Air Flow References: Changed Sub cooling Outdoor Dry Bulb Temp to 114</t>
  </si>
  <si>
    <t>Air Flow References: Changed Superheat Outdoor Dry Bulb Temp to 114</t>
  </si>
  <si>
    <t>Air Flow References: Changed Measured Subcooling to moving range based on Required Subcooling</t>
  </si>
  <si>
    <t>Air Flow References: Changed Measured Superheat to moving range based on Required Subcooling</t>
  </si>
  <si>
    <t>Air Flow Form: Added space for Measured Subcooling and Super heat to FAIL based on value compared to Required Subcooling</t>
  </si>
  <si>
    <t>4.14.20</t>
  </si>
  <si>
    <t>Air Flow References: Chnaged CFM Air flow range to a formula based on ACCA Standard 5 (Air Flow tabs 3-10)</t>
  </si>
  <si>
    <t>Air Flow References: Changed Sub cooling Outdoor Dry Bulb Temp to 114 (Air Flow tabs 3-10)</t>
  </si>
  <si>
    <t>Air Flow References: Changed Superheat Outdoor Dry Bulb Temp to 114 (Air Flow tabs 3-10)</t>
  </si>
  <si>
    <t>Air Flow References: Changed Measured Subcooling to moving range based on Required Subcooling (Air Flow tabs 3-10)</t>
  </si>
  <si>
    <t>Air Flow References: Changed Measured Superheat to moving range based on Required Subcooling (Air Flow tabs 3-10)</t>
  </si>
  <si>
    <t>Air Flow Form: Added space for Measured Subcooling and Super heat to FAIL based on value compared to Required Subcooling (Air Flow tabs 3-10)</t>
  </si>
  <si>
    <t>Draft 11</t>
  </si>
  <si>
    <t>4.15.20</t>
  </si>
  <si>
    <t>Macro: Hide/Unhide Integrated controls check box if Whole House is not checked off</t>
  </si>
  <si>
    <t>Draft 12</t>
  </si>
  <si>
    <t>4.17.20</t>
  </si>
  <si>
    <t>Integrated Controls: Changed Dual Fuel Thermostat Named Range to be C17:G18</t>
  </si>
  <si>
    <t>Convert Pascals to inches of WC by dividing pascals by 249.09</t>
  </si>
  <si>
    <t>lbs.</t>
  </si>
  <si>
    <t>oz.</t>
  </si>
  <si>
    <t>Does this capacity include an allowance for an evaporator?</t>
  </si>
  <si>
    <t>4.27.20</t>
  </si>
  <si>
    <t>Draft 13</t>
  </si>
  <si>
    <t>Air Flow tabs 1-10: Changed wording in Notes to say DIVIDE pascals by 249.09, in place of multiply</t>
  </si>
  <si>
    <t>Air Flow tabs 1-10: Updated Capacity of refrigerant to say lbs. and oz.</t>
  </si>
  <si>
    <t>4.29.20</t>
  </si>
  <si>
    <t>Qualifying Index: Heating Manual J check to make sure its whole house and not Electric</t>
  </si>
  <si>
    <t>Draft 14</t>
  </si>
  <si>
    <t>Macro: changed explanation of Manual J to 100%</t>
  </si>
  <si>
    <t>5.22.20</t>
  </si>
  <si>
    <t>Draft 15</t>
  </si>
  <si>
    <t>Admin Tab: Re-aligned HPwES savings with Prop0</t>
  </si>
  <si>
    <t>Prop0: Linked savings to Qualifying Index tab</t>
  </si>
  <si>
    <t>5.26.20</t>
  </si>
  <si>
    <t>Draft 16</t>
  </si>
  <si>
    <t>Qualifying Index: Changed Insulation logic for fossil fuel only systems</t>
  </si>
  <si>
    <t>6.12.20</t>
  </si>
  <si>
    <t xml:space="preserve">Airflow Form 1-10: Added decimals for inches and oz/feet in the wiegh in method </t>
  </si>
  <si>
    <t>Draft 17</t>
  </si>
  <si>
    <t>6.22.20</t>
  </si>
  <si>
    <t>Prop0: Expanded Integrated control reference to References row 34</t>
  </si>
  <si>
    <t>Draft 18</t>
  </si>
  <si>
    <t>Qualifying Index: Added kW savings for connectd thermostats</t>
  </si>
  <si>
    <t>Prop0: References Qualifying index for thermostat kW savings</t>
  </si>
  <si>
    <t>References: Changed the CF for connect thermostats to 0</t>
  </si>
  <si>
    <t>6.24.20</t>
  </si>
  <si>
    <t>Worksheet: Added data validation for Existing equipment: Numbers greater than 0</t>
  </si>
  <si>
    <t>Draft 19</t>
  </si>
  <si>
    <t>References: Fixed Electric Resistance heating with AC insulation interpolation</t>
  </si>
  <si>
    <t>Qualifying Index: HPwES Insualtion Delta kWh 2 High Reference AE instead of AD</t>
  </si>
  <si>
    <t>7.06.20</t>
  </si>
  <si>
    <t>HPwES: Data Validation so that no one can enter more than 100% of the load</t>
  </si>
  <si>
    <t>Draft 20</t>
  </si>
  <si>
    <t>7.07.20</t>
  </si>
  <si>
    <t>Draft 21</t>
  </si>
  <si>
    <t>Customer Information: Added additional language to the Whole House Check Box about the Integrated controls tab</t>
  </si>
  <si>
    <t>Customer Information: Changed the Whole House Message box to an Exclamation</t>
  </si>
  <si>
    <t>Integrated Controls: Chnaged color and move to the right of Whole House</t>
  </si>
  <si>
    <t>Customer Information: Changed the Whole House check box function to open Integrated Controls tab</t>
  </si>
  <si>
    <t>7.15.20</t>
  </si>
  <si>
    <t>Worksheet: Round Rebate values to have no decimals</t>
  </si>
  <si>
    <t>Draft 23</t>
  </si>
  <si>
    <t>7.21.20</t>
  </si>
  <si>
    <t>Customer Information: Macro: Changed Electric Resistance pop-up message to have homecomfortLI@pseg.com as the website</t>
  </si>
  <si>
    <t>Draft 24</t>
  </si>
  <si>
    <t>7.27.20</t>
  </si>
  <si>
    <t>Per Brian L. 7.20.20 email the following changes were made:</t>
  </si>
  <si>
    <t>Required Doc: Rows 37 - 42 were hidden, and the check boxes for loan docs were removed.</t>
  </si>
  <si>
    <t>Draft 25</t>
  </si>
  <si>
    <t xml:space="preserve">T&amp;C: removed "For Loan project, send all Loan ProFormas directly to EFS" from row 9 </t>
  </si>
  <si>
    <t>Guidelines: Changes row 15 language to “For Loan project, send all Loan ProFormas directly to EFS”</t>
  </si>
  <si>
    <t>Guidelines: Changed Row 8 (item 4) to "Pre and post verification of installed equipment is required. PSEG will accept photo verification in lieu of inspection."</t>
  </si>
  <si>
    <t>Worksheet: Changed language about inspectins to "Pre and post verification of installed equipment is required. PSEG will accept photo verification in lieu of inspection."</t>
  </si>
  <si>
    <t>Development tab: Changed effective range to 7.1.20 - 9.30.20</t>
  </si>
  <si>
    <t>Cooling Source:</t>
  </si>
  <si>
    <t>Location 1</t>
  </si>
  <si>
    <t>Horsepower:</t>
  </si>
  <si>
    <t>Length:</t>
  </si>
  <si>
    <t>Pipe Insulation</t>
  </si>
  <si>
    <t>Water Heating Source:</t>
  </si>
  <si>
    <t>Length of Pipe:</t>
  </si>
  <si>
    <t>Diameter of Pipe:</t>
  </si>
  <si>
    <t>Thickness of Insulation:</t>
  </si>
  <si>
    <t>(Linear Feet)</t>
  </si>
  <si>
    <t>(Inches)</t>
  </si>
  <si>
    <t>Primary Cooling System:</t>
  </si>
  <si>
    <t>Primary Heating System:</t>
  </si>
  <si>
    <t>Secondary Heating System:</t>
  </si>
  <si>
    <t>Secondary Cooling System:</t>
  </si>
  <si>
    <t>9.17.20</t>
  </si>
  <si>
    <t>HPwES tab name changed to Workheet</t>
  </si>
  <si>
    <t>HC Worksheet tab name changed to Remove</t>
  </si>
  <si>
    <t>Worksheet: Moved Heating Source to the top of the Heating information</t>
  </si>
  <si>
    <t>Worksheet: Added Cooling Source to the top of the Cooling information</t>
  </si>
  <si>
    <t xml:space="preserve">Worksheet: Hid all HVAC efficiency and % information </t>
  </si>
  <si>
    <t>Worksheet Added Check boxes next to the Duct Sealing, Air Sealing and Insulation headers</t>
  </si>
  <si>
    <t>Worksheet: Macro: Coded new check boxes to hide unhide the input sections</t>
  </si>
  <si>
    <t>Worksheet: Added Air Curtains and Pipe Insulation Measures</t>
  </si>
  <si>
    <t>Worksheet: Added Inputs for Air Curtains and Pipe Insulation</t>
  </si>
  <si>
    <t>Worksheet: Added check boxes next to Air Curtain and Pipe Insulation headers</t>
  </si>
  <si>
    <t>Program</t>
  </si>
  <si>
    <t>Commercial Efficiency Program</t>
  </si>
  <si>
    <t>Changed Header on all tabs to 2020 Commercial Efficiency Prgram</t>
  </si>
  <si>
    <t>Remove: Deleted HC tab as it is not needed</t>
  </si>
  <si>
    <t xml:space="preserve">Commercial Weatherization </t>
  </si>
  <si>
    <t>5)</t>
  </si>
  <si>
    <t>Test results are in CFM @ 25 Pascals</t>
  </si>
  <si>
    <t>Cannot be installed in place of an existing Air Curtain</t>
  </si>
  <si>
    <t>draft 1.0</t>
  </si>
  <si>
    <t>draft 1.1</t>
  </si>
  <si>
    <t>Worksheet Added space for eligibility criteria for each measure</t>
  </si>
  <si>
    <t>Building Type</t>
  </si>
  <si>
    <t>Cooling ELFH</t>
  </si>
  <si>
    <t>Heating EFLH</t>
  </si>
  <si>
    <t>… please select …</t>
  </si>
  <si>
    <t>Assembly</t>
  </si>
  <si>
    <t>Auto Repair</t>
  </si>
  <si>
    <t>Big Box Retail</t>
  </si>
  <si>
    <t>Community College</t>
  </si>
  <si>
    <t>Fast Food Restaurant</t>
  </si>
  <si>
    <t>Full Service Restaurant</t>
  </si>
  <si>
    <t xml:space="preserve">Grocery </t>
  </si>
  <si>
    <t>High School</t>
  </si>
  <si>
    <t>Hospital</t>
  </si>
  <si>
    <t>Hotel</t>
  </si>
  <si>
    <t>Large Office</t>
  </si>
  <si>
    <t>Large Retail</t>
  </si>
  <si>
    <t>Light Industrial</t>
  </si>
  <si>
    <t>Motel</t>
  </si>
  <si>
    <t>Primary School</t>
  </si>
  <si>
    <t>Religious</t>
  </si>
  <si>
    <t>Small Office</t>
  </si>
  <si>
    <t>Small Retail</t>
  </si>
  <si>
    <t>University</t>
  </si>
  <si>
    <t>Warehouse</t>
  </si>
  <si>
    <t>Ductless Mini-Split AC</t>
  </si>
  <si>
    <t>Ductless Mini-Split Heat Pumps</t>
  </si>
  <si>
    <t>Packaged Terminal Air Conditioners</t>
  </si>
  <si>
    <t>Room Air Conditioners</t>
  </si>
  <si>
    <t>VRF Air Cooled Heat Pumps</t>
  </si>
  <si>
    <t>VRF Water Source Heat Pumps</t>
  </si>
  <si>
    <t>Water Source Heat Pumps</t>
  </si>
  <si>
    <t>Cooling Equipment Type</t>
  </si>
  <si>
    <t>Heating Equipment Type</t>
  </si>
  <si>
    <t>Ground Source Heat Pump</t>
  </si>
  <si>
    <t>Air Source Heat Pumps</t>
  </si>
  <si>
    <t>Water Heater Equipment Type</t>
  </si>
  <si>
    <t>Electric Storage</t>
  </si>
  <si>
    <t>Electric Instantaneous</t>
  </si>
  <si>
    <t>Air Conditioners - Water Cooled</t>
  </si>
  <si>
    <t>Air Conditioners - Evaporatively Cooled</t>
  </si>
  <si>
    <t>Air Conditioners - Water Cooled &lt; 5.4 tons</t>
  </si>
  <si>
    <t>Air Conditioners - Water Cooled &gt; 11.25 &amp; &lt; 20 tons</t>
  </si>
  <si>
    <t>Air Conditioners - Water Cooled &gt; 5.4 &amp; &lt; 11.25 tons</t>
  </si>
  <si>
    <t>Air Conditioners - Water Cooled &gt; 20 &amp; &lt; 63 tons</t>
  </si>
  <si>
    <t>Air Conditioners - Water Cooled &gt; 63 tons</t>
  </si>
  <si>
    <t>Equipemnt for Efficiency</t>
  </si>
  <si>
    <t>Air Conditioners - Evaporatively Cooled &lt; 5.4 tons</t>
  </si>
  <si>
    <t>Air Conditioners - Evaporatively Cooled &gt; 5.4 &amp; &lt; 11.25 tons</t>
  </si>
  <si>
    <t>Air Conditioners - Evaporatively Cooled &gt; 11.25 &amp; &lt; 20 tons</t>
  </si>
  <si>
    <t>Air Conditioners - Evaporatively Cooled &gt; 20 &amp; &lt; 63 tons</t>
  </si>
  <si>
    <t>Air Conditioners - Evaporatively Cooled &gt; 63 tons</t>
  </si>
  <si>
    <t>Air Conditioners - Air Cooled Split</t>
  </si>
  <si>
    <t>Air Conditioners - Air Cooled Single Package</t>
  </si>
  <si>
    <t>Air Source Heat Pumps &lt; 5.4 tons</t>
  </si>
  <si>
    <t>Air Source Heat Pumps &gt; 11.25 &amp; &lt; 20 tons</t>
  </si>
  <si>
    <t>Air Source Heat Pumps &gt; 5.4 &amp; &lt; 11.25 tons</t>
  </si>
  <si>
    <t>Air Source Heat Pumps &gt; 20 tons</t>
  </si>
  <si>
    <t>COP</t>
  </si>
  <si>
    <t>VRF Water Source Heat Pumps &lt; 5.4 tons</t>
  </si>
  <si>
    <t>VRF Water Source Heat Pumps &gt; 5.4 &amp; &lt; 11.25 tons</t>
  </si>
  <si>
    <t>VRF Water Source Heat Pumps &gt; 11.25 &amp; &lt; 20 tons</t>
  </si>
  <si>
    <t>VRF Water Source Heat Pumps &gt; 20 tons</t>
  </si>
  <si>
    <t>draft 1.2</t>
  </si>
  <si>
    <t>9.18.20</t>
  </si>
  <si>
    <t>References: Added Commercial EFLH</t>
  </si>
  <si>
    <t>References: Deleted all HC references</t>
  </si>
  <si>
    <t>References: Added all commercial heating and cooling equipment</t>
  </si>
  <si>
    <t>References: added heating and cooling efficiencies from ASHRAE 2016</t>
  </si>
  <si>
    <t>Natural Gas Boiler &lt; 25 tons</t>
  </si>
  <si>
    <t>Natural Gas Boiler &gt; 25 &amp; &lt; 208 tons</t>
  </si>
  <si>
    <t>Natural Gas Boiler &gt; 208 tons</t>
  </si>
  <si>
    <t>Oil Boiler &lt; 25 tons</t>
  </si>
  <si>
    <t>Oil Boiler &gt; 25 &amp; &lt; 208 tons</t>
  </si>
  <si>
    <t>Oil Boiler &gt; 208 tons</t>
  </si>
  <si>
    <t xml:space="preserve">Ductless Mini-Split AC </t>
  </si>
  <si>
    <t xml:space="preserve">Ductless Mini-Split Heat Pumps </t>
  </si>
  <si>
    <t xml:space="preserve">Water Source Heat Pumps </t>
  </si>
  <si>
    <t xml:space="preserve">Natural Gas Furnace </t>
  </si>
  <si>
    <t xml:space="preserve">Oil Furnace </t>
  </si>
  <si>
    <t xml:space="preserve">Propane Furnace </t>
  </si>
  <si>
    <t xml:space="preserve">Electric Furnace </t>
  </si>
  <si>
    <t xml:space="preserve">Electric Resistance </t>
  </si>
  <si>
    <t>&lt; 5.4 tons</t>
  </si>
  <si>
    <t>&lt; 1/2 tons</t>
  </si>
  <si>
    <t>&gt; 1/2 &amp; &lt; 2/3 tons</t>
  </si>
  <si>
    <t>&gt; 2/3 &amp; &lt; 1 1/6 tons</t>
  </si>
  <si>
    <t>&gt; 1 1/6 &amp; &lt; 1 2/3 tons</t>
  </si>
  <si>
    <t>&gt; 1 2/3 tons</t>
  </si>
  <si>
    <t>&gt; 5.4 &amp; &lt; 11.25 tons</t>
  </si>
  <si>
    <t>&gt; 11.25 &amp; &lt; 20 tons</t>
  </si>
  <si>
    <t>&gt; 20 &amp; &lt; 63 tons</t>
  </si>
  <si>
    <t>&gt; 63 tons</t>
  </si>
  <si>
    <t>&gt; 20 tons</t>
  </si>
  <si>
    <t>&lt; 25 tons</t>
  </si>
  <si>
    <t>&gt; 25 &amp; &lt; 208 tons</t>
  </si>
  <si>
    <t>&gt; 208 tons</t>
  </si>
  <si>
    <t>Air Conditioners - Air Cooled Split &lt; 5.4 tons</t>
  </si>
  <si>
    <t>Air Conditioners - Air Cooled Single Package &lt; 5.4 tons</t>
  </si>
  <si>
    <t>Air Conditioners - Air Cooled Split &gt; 5.4 &amp; &lt; 11.25 tons</t>
  </si>
  <si>
    <t>Air Conditioners - Air Cooled Split &gt; 11.25 &amp; &lt; 20 tons</t>
  </si>
  <si>
    <t>Air Conditioners - Air Cooled Split &gt; 20 &amp; &lt; 63 tons</t>
  </si>
  <si>
    <t>Air Conditioners - Air Cooled Split &gt; 63 tons</t>
  </si>
  <si>
    <t>Air Conditioners - Air Cooled Single Package &gt; 63 tons</t>
  </si>
  <si>
    <t>System 1</t>
  </si>
  <si>
    <t>System 2</t>
  </si>
  <si>
    <t>Cooling Type</t>
  </si>
  <si>
    <t>Cooling Capacity</t>
  </si>
  <si>
    <t>Cooling EER</t>
  </si>
  <si>
    <t>Heating Capacity</t>
  </si>
  <si>
    <t>Cooling Equipment Efficiency Look Up</t>
  </si>
  <si>
    <t>Heating Equipment Efficiency Look Up</t>
  </si>
  <si>
    <t>Heating HSPF</t>
  </si>
  <si>
    <t>Cooling %</t>
  </si>
  <si>
    <t>Heating %</t>
  </si>
  <si>
    <t>Cooling SEER/IEER</t>
  </si>
  <si>
    <t>Heating COP/Efficiency</t>
  </si>
  <si>
    <t>Fossil Fuel Source T/F</t>
  </si>
  <si>
    <t>FF T/F</t>
  </si>
  <si>
    <t>9.21.20</t>
  </si>
  <si>
    <t>Qualifying Index: Finished HVAC Info on Qualifying Index for heating</t>
  </si>
  <si>
    <t>Qualifying Index: Moved Duct Sealing Table below HVAC table</t>
  </si>
  <si>
    <t xml:space="preserve">Qualifying Index: Added Cooling and Heating 1 &amp; 2 TRUE/FALSE </t>
  </si>
  <si>
    <t>Qualifying Index: fixed cooling and heating load calcs</t>
  </si>
  <si>
    <t>Qualifying Index: Added Cooling and Heating kWh and MMBTU savings table</t>
  </si>
  <si>
    <t>draft 1.3</t>
  </si>
  <si>
    <t xml:space="preserve">Guidelines: Updated guidelines </t>
  </si>
  <si>
    <t>Duct Total Leakage</t>
  </si>
  <si>
    <t>AW</t>
  </si>
  <si>
    <t>draft 1.4</t>
  </si>
  <si>
    <t>9.22.20</t>
  </si>
  <si>
    <t>References: Fixed Distribution Efficiency table for duct sealing</t>
  </si>
  <si>
    <t>draft 1.5</t>
  </si>
  <si>
    <t>The Commercial Efficiency Program offers rebates to commercial, industrial, institutional, educational, municipal or multi-family building customers who install qualifying energy efficient equipment. Customers must have an existing business to participate. Rebates require pre-approval.</t>
  </si>
  <si>
    <t>Account Name:</t>
  </si>
  <si>
    <t>Facility Address:</t>
  </si>
  <si>
    <t>DBA:</t>
  </si>
  <si>
    <t>Organization Type:</t>
  </si>
  <si>
    <r>
      <t xml:space="preserve">Building Size </t>
    </r>
    <r>
      <rPr>
        <b/>
        <sz val="8"/>
        <color indexed="8"/>
        <rFont val="Arial Narrow"/>
        <family val="2"/>
      </rPr>
      <t>(ft</t>
    </r>
    <r>
      <rPr>
        <b/>
        <vertAlign val="superscript"/>
        <sz val="8"/>
        <color indexed="8"/>
        <rFont val="Arial Narrow"/>
        <family val="2"/>
      </rPr>
      <t>2</t>
    </r>
    <r>
      <rPr>
        <b/>
        <sz val="8"/>
        <color indexed="8"/>
        <rFont val="Arial Narrow"/>
        <family val="2"/>
      </rPr>
      <t>)</t>
    </r>
    <r>
      <rPr>
        <b/>
        <sz val="11"/>
        <color indexed="8"/>
        <rFont val="Arial Narrow"/>
        <family val="2"/>
      </rPr>
      <t>:</t>
    </r>
  </si>
  <si>
    <t>Building Type:</t>
  </si>
  <si>
    <t>*Disclaimer: Terms and conditions are subject to change without notice, including early termination of this promotion. No additional fees apply. The rebate may be issued in the form of a check. PSEG Long Island administers the rebate program on behalf of the Long Island Power Authority, the rebate program sponsor. Please visit https://www.PSEGLIny.com/Efficiency for more details.</t>
  </si>
  <si>
    <t xml:space="preserve">Certification Statement:  
Customer has read, understands and agrees to be bound by the Terms and Conditions set forth herein, and agrees to abide by them.  By participating in this program, Customer agrees on behalf of itself and any successor in interest or assignee that PSEG Long Island obtains and/or retains ownership of all rights to existing and future emission credits, renewable energy rights to existing and future emissions credits, renewable energy green tags, tradable renewable certificates and/or any and all other environmental benefits associated with the installation of the ECMs. Customer certifies that the information provided in the herein is true and accurate.  Customer further certifies that the energy saving products described herein have or will be installed in the facility indicated above and will not be resold.  As specified herein, Customer agrees to permit PSEG Long Island to: (1) verify the purchase invoices and product installations and (2) upon request, install and remove load-monitoring equipment at the facility.  Customer acknowledges that the rights and obligations in this application shall be binding upon assignees, successors and future owners of the facility.  Customer agrees to include restrictions contained in this agreement in any leases, sales, contracts, or other similar documents relating to the use and ownership of the facility.  Customer acknowledge that, consistent with PSEG Long Island’s Efficiency Long Island program policies and procedures, PSEG Long Island may pro-rate a rebate or incentive (the “Rebate”) if the Customer purchases less than its full electric requirements from PSEG Long Island.  Customer further acknowledges that PSEG Long Island may require the Customer to repay all or a portion of the Rebate received if, within five (5) years of receipt of the Rebate, the Customer ceases purchasing its full electric requirements from PSEG Long Island or increases its use of electric power from non-PSEG Long Island sources at the facility, other than through the Long Island Choice Program.
</t>
  </si>
  <si>
    <t>9.23.20</t>
  </si>
  <si>
    <t>Customer Inforamtion: Editted to look like the Standard Application</t>
  </si>
  <si>
    <t>draft 1.6</t>
  </si>
  <si>
    <t>References: Set up building type look-up table</t>
  </si>
  <si>
    <t>Qualifying Index: updated INDEX MATCH for Distribution Efficiency</t>
  </si>
  <si>
    <t>CO2 lbs/unit</t>
  </si>
  <si>
    <t>Cooling CO2</t>
  </si>
  <si>
    <t>Heating CO2</t>
  </si>
  <si>
    <t>Electric Average:</t>
  </si>
  <si>
    <t>FF Average:</t>
  </si>
  <si>
    <t>Air Curtain</t>
  </si>
  <si>
    <t>Air Curtain Information</t>
  </si>
  <si>
    <t>Pipe Insulation Information</t>
  </si>
  <si>
    <t>Qualifying Index: Added Duct Sealing kW Savings, MMBTU Svaings, and CO2 Savings</t>
  </si>
  <si>
    <t>Qualifying Index: Added Air Sealing Information table and Savings clalcs</t>
  </si>
  <si>
    <t>Qualifying Index: Created Designated area for Insulation, Air Curain, and Pipe Insulation Information tables</t>
  </si>
  <si>
    <t>Length</t>
  </si>
  <si>
    <t>Qualifying Index: Added Air Curtains formulas and savings</t>
  </si>
  <si>
    <t>Pipe Diameter</t>
  </si>
  <si>
    <t>Fiberglass</t>
  </si>
  <si>
    <t>Rigid Foam/Cellular Glass</t>
  </si>
  <si>
    <t>9.25.20</t>
  </si>
  <si>
    <t>Qualifying Index: Started changing Headers and formulas for pipe insulation</t>
  </si>
  <si>
    <t>References: built out pipe insulation tables</t>
  </si>
  <si>
    <t>Thermal Efficiency</t>
  </si>
  <si>
    <t>draft 1.7</t>
  </si>
  <si>
    <t>hours</t>
  </si>
  <si>
    <t>Elec SF</t>
  </si>
  <si>
    <t>T pipe</t>
  </si>
  <si>
    <t>Variable</t>
  </si>
  <si>
    <t>hrs</t>
  </si>
  <si>
    <t>Tamb</t>
  </si>
  <si>
    <t>Details</t>
  </si>
  <si>
    <t>degrees F DHW</t>
  </si>
  <si>
    <t>Electric Hot Water only</t>
  </si>
  <si>
    <t>MMBTU/kWh</t>
  </si>
  <si>
    <t>CEP Weatherization</t>
  </si>
  <si>
    <t>CEP Duct Sealing</t>
  </si>
  <si>
    <t>CEP Air Sealing</t>
  </si>
  <si>
    <t>CEP Insulation</t>
  </si>
  <si>
    <t>CEP Air Curtain</t>
  </si>
  <si>
    <t>CEP Pipe Insulation</t>
  </si>
  <si>
    <t>CW100</t>
  </si>
  <si>
    <t>CW200</t>
  </si>
  <si>
    <t>CW300</t>
  </si>
  <si>
    <t>CW400</t>
  </si>
  <si>
    <t>CW500</t>
  </si>
  <si>
    <t>Line Loss Demand</t>
  </si>
  <si>
    <t>Line Loss Energy</t>
  </si>
  <si>
    <t>In Sevice Rate</t>
  </si>
  <si>
    <t>10.16.20</t>
  </si>
  <si>
    <t>Worksheet: Added Pictures for each measure</t>
  </si>
  <si>
    <t>Worksheet: Moved Criteria to column F and Total Cost to column C</t>
  </si>
  <si>
    <t>Worksheet Macro: Changed Hide unhide for each measure to new range</t>
  </si>
  <si>
    <t>draft 1.10</t>
  </si>
  <si>
    <t>Check the box of each measure being installed</t>
  </si>
  <si>
    <t>ECCCNYS</t>
  </si>
  <si>
    <t>https://www.dos.ny.gov/DCEA/pdf/pdf/2020%20ECCCNYS%20November%202019.pdf</t>
  </si>
  <si>
    <t>Noted in NYS TRM that duct work must meet ECCCNYS compliance</t>
  </si>
  <si>
    <t>IECC 2018</t>
  </si>
  <si>
    <t>https://codes.iccsafe.org/content/IECC2018P4/chapter-4-ce-commercial-energy-efficiency</t>
  </si>
  <si>
    <t>Air Sealing 0.40 cfm/sft</t>
  </si>
  <si>
    <t>ASHRAE 2016</t>
  </si>
  <si>
    <t>Air Sealing square footage entered should match the square footage of insulation</t>
  </si>
  <si>
    <t>Conditioned Floor Area:</t>
  </si>
  <si>
    <t>(Square Footage)</t>
  </si>
  <si>
    <t>Pre CFM(25)</t>
  </si>
  <si>
    <t>Post CFM(25)</t>
  </si>
  <si>
    <t>6)</t>
  </si>
  <si>
    <t>New Insulation R-Value must exceed existing insulation R-Value</t>
  </si>
  <si>
    <t>All ducts outside the building must be insulated with a minimum R-8</t>
  </si>
  <si>
    <t>Ducts in unconditioned areas should be insulated with a minimum R-6</t>
  </si>
  <si>
    <t>Table 5.5-4 Building Envelope Requirements for Climate Zone 4 (A,B,C)</t>
  </si>
  <si>
    <t>If resealing duct work as part of an HVAC replacement, the duct sealing rebate is not eligible</t>
  </si>
  <si>
    <t>Post Blower Door Test CFM must meet IECC 2018 criteria</t>
  </si>
  <si>
    <t>here</t>
  </si>
  <si>
    <t>Building type</t>
  </si>
  <si>
    <t>Grocery</t>
  </si>
  <si>
    <t>School</t>
  </si>
  <si>
    <t>Health</t>
  </si>
  <si>
    <t>Occupied Cooling Temp</t>
  </si>
  <si>
    <t>Unoccupied Cooling Temp</t>
  </si>
  <si>
    <t>Occupied Heating Temp</t>
  </si>
  <si>
    <t>Unoccupied Heating Temp</t>
  </si>
  <si>
    <t>Average Cooling Temp</t>
  </si>
  <si>
    <t>Average Heating Temp</t>
  </si>
  <si>
    <t>*Mon-Sun 8am-9pm</t>
  </si>
  <si>
    <t>*Mon-Sun 6am-11pm</t>
  </si>
  <si>
    <t>*Mon-Sun 9am-12pm</t>
  </si>
  <si>
    <t>*Mon-Sun 6am-10pm</t>
  </si>
  <si>
    <t>*60% Occ, 40% unocc</t>
  </si>
  <si>
    <t>*Mon-Sat 12pm-6pm, Sun 9am-7pm</t>
  </si>
  <si>
    <t>*Mon-Sat 9am-6pm</t>
  </si>
  <si>
    <t>*Mon-Sat 10am-10pm, Sun 10am-8pm</t>
  </si>
  <si>
    <t>NA</t>
  </si>
  <si>
    <t>*Other</t>
  </si>
  <si>
    <t>*Mon-Fri 8am-6pm, Sun 8am-4pm</t>
  </si>
  <si>
    <t>Season</t>
  </si>
  <si>
    <t>Outdoor Temp</t>
  </si>
  <si>
    <t>*From Bin Data. See Air Sealing analysis</t>
  </si>
  <si>
    <t>Variables</t>
  </si>
  <si>
    <t>Latent Multiplier</t>
  </si>
  <si>
    <t>Specific Heat Capacity</t>
  </si>
  <si>
    <t>cu.ft/min to cu.ft/hr</t>
  </si>
  <si>
    <t>7.13.21</t>
  </si>
  <si>
    <t>7.12.21</t>
  </si>
  <si>
    <t>References: Added table to show indoor temperature setpoints of businesses</t>
  </si>
  <si>
    <t>References: Added outdoor average temperatures</t>
  </si>
  <si>
    <t>draft 3.0</t>
  </si>
  <si>
    <t>Qualifying Index: Adjusted delta temperature formula to reference the indoor temperature and outdoor temperature tables</t>
  </si>
  <si>
    <t>References: Added table with random air sealing variables</t>
  </si>
  <si>
    <t>draft 3.1</t>
  </si>
  <si>
    <t>Qualifying Index: Adjusted cooling and heating kWh and MMBTU formulas to reference new table instead of hard coded values</t>
  </si>
  <si>
    <t>Qualifying Index: Added delta temperature to Insulation section</t>
  </si>
  <si>
    <t>Qualifying Index: Added Savings formulas for Insulation</t>
  </si>
  <si>
    <t>Qualifying Index: Deleted old Insulation tables</t>
  </si>
  <si>
    <t>Duct Sealing Information</t>
  </si>
  <si>
    <t>Electric Furnace</t>
  </si>
  <si>
    <t xml:space="preserve">REM Cooling kWh </t>
  </si>
  <si>
    <t xml:space="preserve">REM Heating kWh </t>
  </si>
  <si>
    <t xml:space="preserve">REM Heating MMBTU </t>
  </si>
  <si>
    <t xml:space="preserve">REM Cooling kW </t>
  </si>
  <si>
    <t xml:space="preserve">REM Heating kW </t>
  </si>
  <si>
    <t>Qualifying Index: Added new Duct Sealing section</t>
  </si>
  <si>
    <t>References: Add REM columns for Duct Sealing</t>
  </si>
  <si>
    <t>Qualifying Index: Added Savings formulas for Duct Sealing</t>
  </si>
  <si>
    <t>Worksheet: Macro: Updated Hide/Unhide lengths for check boxes</t>
  </si>
  <si>
    <t>7.30.21</t>
  </si>
  <si>
    <t>Qualifying Index: Updated Insulation Fossil Fuel MMBTU</t>
  </si>
  <si>
    <t>Qualifying Index: Updated Insulation EE CO2 formula</t>
  </si>
  <si>
    <t>draft4</t>
  </si>
  <si>
    <t>Rebates</t>
  </si>
  <si>
    <t>References: Added Rebates or rebates per area</t>
  </si>
  <si>
    <t>Qualifying Index: added Insulation, air sealing, air curtain, and pipe insulation rebates</t>
  </si>
  <si>
    <t>Worksheet: added Insulation, air sealing, air curtain, and pipe insulation rebates</t>
  </si>
  <si>
    <t>1. Rebates</t>
  </si>
  <si>
    <t>a)</t>
  </si>
  <si>
    <t>b)</t>
  </si>
  <si>
    <t xml:space="preserve">ECMs are those electric conservation measures identified as such in program materials issued by PSEG Long Island and other site-specific Custom or Whole Building Design Measures that are approved by PSEG Long Island.  The installation of ECMs and other site-specific Custom or Whole Building Design Measures will be referred to as (“Project”) in these Terms and Conditions. </t>
  </si>
  <si>
    <t>c)</t>
  </si>
  <si>
    <t>All ECMs must be new equipment and installed by licensed contractors where required by code and/or law.</t>
  </si>
  <si>
    <t>2. Customer Eligibility</t>
  </si>
  <si>
    <t>By participating in this Program, Customer agrees that PSEG Long Island obtains and/or retains ownership of all rights to existing and future emissions credits, renewable energy rights to existing and future emissions credits, renewable energy green tags, tradable renewable certificates and/or any and all other environmental benefits associated with the installation of the eligible equipment.</t>
  </si>
  <si>
    <t>3. Pre-Approval and Pre-Installation Survey</t>
  </si>
  <si>
    <t>PSEG Long Island will not pay any rebates unless PSEG Long Island pre-approves the ECMs proposed by the Customer and completes, to PSEG Long Island’s satisfaction, a pre-installation survey of the Customer’s facilities, unless PSEG Long Island has expressly waived such pre-approval/inspection requirement.</t>
  </si>
  <si>
    <t>PSEG Long Island reserves sole discretion to approve or disapprove of any proposed ECMs.</t>
  </si>
  <si>
    <t>4. Post-Installation Verification</t>
  </si>
  <si>
    <t>PSEG Long Island will not pay any rebates until it has performed, to PSEG Long Island’s satisfaction a post-installation verification of the installation, unless PSEG Long Island has expressly waived such post-installation verification requirement.  If PSEG Long Island determines that the ECMs were not installed in a manner that is consistent with the purpose of achieving energy savings, or if the installation was not consistent with generally accepted good engineering practices, PSEG Long Island reserves the right to require changes before making any rebate payments.  PSEG Long Island will not pay rebates until it has been verified that the Customer has received, as appropriate, final drawings, operation and maintenance manuals, and operator training.</t>
  </si>
  <si>
    <t>5. Customer Application and Analysis</t>
  </si>
  <si>
    <t xml:space="preserve">In addition to completing the application, the Customer may be required by PSEG Long Island to provide an analysis of the demand and energy reduction potential of the proposed ECMs.  In some cases, a Professional Engineer licensed in the state of New York must prepare the analysis.  Nameplate data may be required at PSEG Long Island’s discretion.  </t>
  </si>
  <si>
    <t>PSEG Long Island may review the Customer’s application and analysis to make an independent determination of the energy saving and demand reduction potential.  PSEG Long Island reserves the right to reject or modify any calculations, based on PSEG Long Island’s own analysis.</t>
  </si>
  <si>
    <t>6. Site-Specific Custom Measures</t>
  </si>
  <si>
    <t>PSEG Long Island will only approve of those site-specific Custom ECMs that PSEG Long Island believes have cost-effective energy and/or demand reduction potential.  In any case, PSEG Long Island reserves sole discretion to approve or disapprove of payment of rebates for any such proposed ECMs.</t>
  </si>
  <si>
    <t>7. Rebate Amounts</t>
  </si>
  <si>
    <t>Before pre-approving any rebate amounts requested by the Customer, PSEG Long Island reserves the right to adjust the rebate amount.</t>
  </si>
  <si>
    <t xml:space="preserve">PSEG Long Island reserves the right to lower the rebate amount if the quantity and/or cost of ECMs actually installed by the Customer differ from the pre-approved amounts.  </t>
  </si>
  <si>
    <t>d)</t>
  </si>
  <si>
    <t>Notwithstanding any other provision of these Terms and Conditions, PSEG Long Island reserves the right to a refund of any rebates paid if, at any time, it learns that any agreed to ECMs were not actually, or properly installed, or have subsequently been disconnected.</t>
  </si>
  <si>
    <t>e)</t>
  </si>
  <si>
    <t>Custom Applications – The approved rebate cannot exceed PSEG Long Island’s electric savings benefits, as determined by PSEG Long Island through its analysis of the project</t>
  </si>
  <si>
    <t>f)</t>
  </si>
  <si>
    <t>PSEG Long Island reserves the right to withhold payment or to award the rebate in the form of a bill credit.  Customers in arrears at the time of rebate payment may not be eligible to receive a rebate.</t>
  </si>
  <si>
    <t>g)</t>
  </si>
  <si>
    <t xml:space="preserve">The UL classification of Energy Verification Services (EVS) for the appropriate product classification is required.  PSEG Long Island reserves the right to withhold rebate payments for or disqualify any ECM’s that do not carry the Underwriter’s Laboratory (UL) Classification Mark or, with the written consent of PSEG Long Island, an equivalent independent efficiency and product safety certification organization.  </t>
  </si>
  <si>
    <t xml:space="preserve">8. ECM and Installation Proof of Payment  </t>
  </si>
  <si>
    <t xml:space="preserve">The Customer must provide copies of all invoices (including itemization of all materials, labor, and equipment discounts) reflecting the costs of purchasing and installing the ECMs.  The invoices shall include a breakdown of all ECMs purchased for installation under the Program.  In addition, PSEG Long Island may require any other reasonable documentation or verification of the cost to the Customer of purchasing and installing the ECM.  PSEG Long Island may require invoices from Customer’s contractor to determine the price paid by the contractor (including any discounts or rebates) for the ECMs.  For custom ECMs, PSEG Long Island reserves the right to use the contractor’s reasonable costs in order to determine the correct rebate amount.  </t>
  </si>
  <si>
    <t xml:space="preserve">PSEG Long Island may require copies of the construction specifications, including relevant ECMs, provided to the construction/installation contractors for certain Projects. PSEG Long Island may refuse to pay rebates if the specifications do not adequately provide for installation of the ECMs consistent with good engineering and energy-efficient design practices.  Customer will, upon request by PSEG Long Island, provide a copy of the as-built drawings and equipment submittals for the facility.  </t>
  </si>
  <si>
    <t>Title to all of the equipment purchased under this agreement shall rest with the Customer.</t>
  </si>
  <si>
    <t>9. Installation Service Costs Recognized</t>
  </si>
  <si>
    <t>PSEG Long Island will recognize installation costs only to the extent that they are determined by PSEG Long Island to be reasonable and actually incurred by the Customer.</t>
  </si>
  <si>
    <t>10. Contractor Shared Savings Arrangements</t>
  </si>
  <si>
    <t>If Custom ECMs are being installed by Customer’s contractor under a “shared savings” contract or other situation where the customer’s contract is not based upon the price of installed equipment, PSEG Long Island reserves the right to determine the cost of purchasing and installing the ECMs based on the reasonable retail costs in purchasing the equipment and installing the ECMs.</t>
  </si>
  <si>
    <t>11. Date of Rebate Payments</t>
  </si>
  <si>
    <t xml:space="preserve">PSEG Long Island expects to pay the rebate within sixty (60) days after all of the following conditions are met:  (1) construction/renovation of Customer’s facility is completed; (2) Customer has received an occupancy permit; and (3) PSEG Long Island has verified equipment and installation costs and satisfactory installation of the ECMs, all in accordance with the specifications. (4) All documents required by the application have been received by PSEG Long Island. </t>
  </si>
  <si>
    <t>PSEG Long Island reserves the right to make a reasonable number of installation follow-up visits to Customer’s Facility during the 24 months following the actual completion date noted on this application.  Such visit(s) are not meant to inconvenience the Customer, PSEG Long Island, and the Customer agrees to provide access within a reasonable timeframe of receiving the request for a follow up visit.</t>
  </si>
  <si>
    <t xml:space="preserve">The purpose of the follow-up visit(s) is to provide PSEG Long Island with an opportunity to review the operation of the ECMs for program evaluation purposes.  </t>
  </si>
  <si>
    <t xml:space="preserve">PSEG Long Island is under no obligation to:  (1) make follow-up visits, (2) review the operation of the ECMs, or (3) make any suggestions of any kind to the Customer.  </t>
  </si>
  <si>
    <t>The scope of review by PSEG Long Island of the design and installation of the ECMs is limited solely to determining whether Program conditions have been met.  It does not include any kind of safety review.</t>
  </si>
  <si>
    <t>PSEG Long Island may change the program and the Terms &amp; Conditions at any time without notice.  PSEG Long Island, however, will process pre-approved applications, to completion under the Terms &amp; Conditions in effect at the time of the pre-approval.</t>
  </si>
  <si>
    <t>PSEG Long Island reserves the right, for any reason, to stop pre-approving ECMs at any time without notice.  In particular, PSEG Long Island is not obligated to pre-approve any application for an rebate that may result in PSEG Long Island exceeding its program budget</t>
  </si>
  <si>
    <t>The Program described in the application may be altered, suspended, or canceled by PSEG Long Island at any time without prior notice.  Under such circumstances, the Customer is not entitled to any Program benefits in excess of those approved prior to such action by PSEG Long Island.  Submission of a completed application does not entitle the Customer to program participation.  Entitlement to Program participation can only occur after PSEG Long Island has signed a copy of the application and granted pre-approval</t>
  </si>
  <si>
    <t>The Customer may direct that rebates be paid directly to the Customer’s contractor.  This request must be made expressly in writing.</t>
  </si>
  <si>
    <t xml:space="preserve">PSEG Long Island may publicize the Customer’s participation in the Program, the results, the amount of rebates paid to the Customer, and any other information which reasonably relates to the Customer’s participation. </t>
  </si>
  <si>
    <t>Where there is no deadline indicating otherwise on the application, PSEG Long Island may terminate the application and any approved rebate if the Customer is not engaged in installation of the pre-approved ECMs by the end of 180 days from the date PSEG Long Island approves the Customer’s Retrofit application and One year for all Custom applications.</t>
  </si>
  <si>
    <t>PSEG Long Island’s liability is limited to paying the approved rebates. .  Neither PSEG Long Island,  nor its affiliates, subsidiaries, Manager, employees, consultants, agents and contractors (“PSEG Long Island Parties”) shall be liable to the Customer for any consequential or incidental damages or for any damages in tort (including negligence) caused by any activities associated with this application or  the Program.</t>
  </si>
  <si>
    <t>The Customer shall protect, indemnify, and hold harmless PSEG Long Island, and the PSEG Long Island Parties from and against all liabilities, losses, claims, damages, judgments, penalties, causes of action, costs and expenses (including, without limitation, attorney’s fees and expenses) imposed upon or incurred by or assessed against PSEG Long Island, and the PSEG Long Island Parties resulting from, arising out of, or relating to the Program.</t>
  </si>
  <si>
    <t xml:space="preserve">PSEG Long Island does not endorse, guarantee, or warrant any particular manufacturer or product, and PSEG Long Island provides no warranties, expressed or implied, for any product or services.   </t>
  </si>
  <si>
    <t>The Customer acknowledges that neither PSEG Long Island nor any of the PSEG Long Island Parties are responsible for assuring that the design, engineering and construction of Customer’s Project or that the installation of the ECMs is proper or complies with any particular laws (including patent laws), codes, or industry standards.  PSEG Long Island does not make any representations of any kind regarding the results to be achieved by the ECMs or the adequacy or safety of such measures.</t>
  </si>
  <si>
    <t xml:space="preserve">The benefits conferred upon the Customer through participation in this program may be taxable by the federal, state, and local government.  The Customer is responsible for declaring any benefits and paying any associated  taxes.   </t>
  </si>
  <si>
    <t>After an application is approved by PSEG Long Island’s authorized executive, the Customer will receive written notification of the pre-approved rebate amount and the date that the ECMs must be fully installed to qualify for rebate payments.  Any ECMs installed prior to the issuance of PSEG Long Island’s written authorization will be deemed as an unauthorized installation and PSEG Long Island will have no obligation to pay rebates for those ECMs.</t>
  </si>
  <si>
    <t>It is the Customer’s responsibility to select a vendor to perform the work indicated on the Customer’s Application.</t>
  </si>
  <si>
    <t>The Customer agrees, as a condition of participation in the Program, to remove and dispose of all equipment being replaced by the ECMs and further agrees to carry out such removal and disposal in accordance with all laws, rules, and regulations.  The Customer agrees not to reinstall any of this equipment in the Service Area of PSEG Long Island.</t>
  </si>
  <si>
    <t>By providing a telephone number you are giving consent to be contacted at that number about matters that are closely related to the utility service.</t>
  </si>
  <si>
    <t xml:space="preserve">These Terms and Conditions and program requirements outline the conditions under which PSEG Long Island will pay rebates.  These Terms and Conditions are subject to change at PSEG Long Island’s discretion. </t>
  </si>
  <si>
    <t xml:space="preserve">If any provision of the Terms and Conditions is deemed invalid by any court or administrative body having jurisdiction, such ruling shall not invalidate any other provision, and the remaining Terms and Conditions shall remain in full force and effect in accordance with their terms.  </t>
  </si>
  <si>
    <t>The Customer’s acceptance of final payment releases PSEG Long Island from all claims and liabilities to the Customer, and its representatives or assigns.</t>
  </si>
  <si>
    <t>I have read and understand the terms and conditions detailed above.</t>
  </si>
  <si>
    <t>(initials)</t>
  </si>
  <si>
    <t>8.4.21</t>
  </si>
  <si>
    <t>T's and C's: copy and pasted CEP terms and conditions (from HVAC worksheet)</t>
  </si>
  <si>
    <t>Version1.0_draft5</t>
  </si>
  <si>
    <t>Required Documents for All Projects</t>
  </si>
  <si>
    <t>Deliverable Timeline</t>
  </si>
  <si>
    <t>Customer</t>
  </si>
  <si>
    <t>Pre-Installation</t>
  </si>
  <si>
    <t>Customer/Applicant</t>
  </si>
  <si>
    <t>PSEG Long Island Project Manager</t>
  </si>
  <si>
    <t>Post-Installation</t>
  </si>
  <si>
    <t>Required Documents for Whole Building ccASHP Projects</t>
  </si>
  <si>
    <t>Contractor</t>
  </si>
  <si>
    <t>PSEG Long Island may require additional documentation not listed in the check boxes above as deemed necessary to properly process any rebates.</t>
  </si>
  <si>
    <t>I have read and understand the information listed above.</t>
  </si>
  <si>
    <t>Required Docs: tab updated to include list of required docs from CEP (HVAC worksheet)</t>
  </si>
  <si>
    <t>Rebate Guidelines</t>
  </si>
  <si>
    <t>https://www.psegliny.com/businessandcontractorservices/businessandcommercialsavings/businessandcommercialrebates</t>
  </si>
  <si>
    <t>Pre-approval is required.</t>
  </si>
  <si>
    <t>All projects are subject to Post-inspection.</t>
  </si>
  <si>
    <t>If the proposed equipment is listed in the eligibility table, use the appropirate Worksheet to calculate the estimated rebate.</t>
  </si>
  <si>
    <t>Eligible equipment may be updated or modified regularly. For the  most recent applications and worksheets please visit:</t>
  </si>
  <si>
    <t>Only applications and worksheets in effect at the time of submittal will be accepted.  Please visit our website for the most recent applications and worksheets:</t>
  </si>
  <si>
    <t xml:space="preserve">All installations must be installed in accordance with all applicable local, state and national codes and ordinances.
</t>
  </si>
  <si>
    <r>
      <t xml:space="preserve">If  submitting electronically, applicant must either submit an e-mail in lieu of signature or provide a hard copy with signature </t>
    </r>
    <r>
      <rPr>
        <sz val="10"/>
        <rFont val="Arial Narrow"/>
        <family val="2"/>
      </rPr>
      <t>(</t>
    </r>
    <r>
      <rPr>
        <sz val="11"/>
        <rFont val="Arial Narrow"/>
        <family val="2"/>
      </rPr>
      <t>fax, pdf, printed original, etc.).</t>
    </r>
  </si>
  <si>
    <t>Program Requirements/Steps to Participate</t>
  </si>
  <si>
    <t>Before you purchase and install equipment, send the following to PSEG Long Island to receive your Pre-Approval Letter:</t>
  </si>
  <si>
    <r>
      <t xml:space="preserve">Completed Customer Information section of application and appropriate worksheets.  </t>
    </r>
    <r>
      <rPr>
        <sz val="11"/>
        <color indexed="8"/>
        <rFont val="Arial Narrow"/>
        <family val="2"/>
      </rPr>
      <t>(Incomplete applications will not be accepted.)</t>
    </r>
  </si>
  <si>
    <t>Submit required documents (see Required Documents check sheet)</t>
  </si>
  <si>
    <t xml:space="preserve">For Electronic Submissions e-mail documents to:  </t>
  </si>
  <si>
    <t>CEPLI@pseg.com</t>
  </si>
  <si>
    <t>or via Lead Partner Portal Online Application</t>
  </si>
  <si>
    <t>Each required document must be a separate file (no zipped files)</t>
  </si>
  <si>
    <t>For hardcopy submissions:  PSEG Long Island CEP, 395 North Service Rd, Suite 409, Melville, NY 11747</t>
  </si>
  <si>
    <r>
      <rPr>
        <b/>
        <sz val="11"/>
        <color indexed="8"/>
        <rFont val="Arial Narrow"/>
        <family val="2"/>
      </rPr>
      <t>AFTER you receive your Pre-Approval Letter</t>
    </r>
    <r>
      <rPr>
        <sz val="11"/>
        <color indexed="8"/>
        <rFont val="Arial Narrow"/>
        <family val="2"/>
      </rPr>
      <t xml:space="preserve">, complete the project. </t>
    </r>
  </si>
  <si>
    <t>Once Project is Complete:</t>
  </si>
  <si>
    <t xml:space="preserve">Submit copies of customer validated proof of payment (e.g. itemized invoice) showing the facility address, date and place of purchase and the model/part numbers of installed equipment. </t>
  </si>
  <si>
    <t xml:space="preserve">A PSEG Long Island representative will contact you to schedule a post-inspection. </t>
  </si>
  <si>
    <t>After verification that all necessary requirements have been met, a PSEG Long Island representative will authorize payment and either mail a check to the applicant/assignee or apply a bill credit to the applicant’s account.</t>
  </si>
  <si>
    <t>I have read and understand the Guidelines listed above.</t>
  </si>
  <si>
    <t>Guidelines: tab updated to include guidelines from CEP (HVAC worksheet)</t>
  </si>
  <si>
    <t>Subject to these Terms and Conditions, PSEG Long Island and/or its subsidiary, the Long Island Lighting Company d/b/a PSEG Long Island (hereinafter referred to individually or collectively as “PSEG Long Island”), will pay rebates to eligible Customers (hereinafter “Customers”) for the installation of Energy Conservation Measures (“ECMs”) listed on PSEG Long Island’s Commercial Weatherization application forms.</t>
  </si>
  <si>
    <t>The PSEG Long Island Commercial Weatherization Program (“Program”) is available to all non-residential electric customers in the PSEG Long Island “Service Area,” which includes Nassau and Suffolk counties and a portion of Queens County known as the Rockaways.</t>
  </si>
  <si>
    <t>Ref Tab: Removed space in equipment names in table beginning in F50</t>
  </si>
  <si>
    <t>Version1.0_Draft6</t>
  </si>
  <si>
    <t>8.5.21</t>
  </si>
  <si>
    <t>12. Monitoring and Evaluation Follow-up Visits</t>
  </si>
  <si>
    <t>13. Limited Scope of Review</t>
  </si>
  <si>
    <t>14. Changes in the Program</t>
  </si>
  <si>
    <t>15. Payments Assignable to Contractors</t>
  </si>
  <si>
    <t>16. Publicity of Customer Participation</t>
  </si>
  <si>
    <t>17. Installation Schedule Requirements</t>
  </si>
  <si>
    <t>18. Limitation of Liability and Indemnification</t>
  </si>
  <si>
    <t>19. No Warranties</t>
  </si>
  <si>
    <t>20. Customer Must Pay All Taxes</t>
  </si>
  <si>
    <t>21. Pre-Approval Letter</t>
  </si>
  <si>
    <t>22. Vendor Selection</t>
  </si>
  <si>
    <t>23. Removal of Equipment</t>
  </si>
  <si>
    <t>24. Miscellaneous</t>
  </si>
  <si>
    <t>T's and C's: customized language for Commercial Weatherization Program</t>
  </si>
  <si>
    <t>Version1.0_Draft7</t>
  </si>
  <si>
    <t>Guidelines: Updated guidelines to reflect weatherization</t>
  </si>
  <si>
    <t>Natural Gas Furnace</t>
  </si>
  <si>
    <t>Oil Furnace</t>
  </si>
  <si>
    <t>Propane Furnace</t>
  </si>
  <si>
    <t>Natural Gas Boiler</t>
  </si>
  <si>
    <t>Oil Boiler</t>
  </si>
  <si>
    <t xml:space="preserve">Packaged Terminal Heat Pumps </t>
  </si>
  <si>
    <t>VRF Air Cooled Heat Pumps &lt; 5.4 tons</t>
  </si>
  <si>
    <t>VRF Air Cooled Heat Pumps &gt; 5.4 &amp; &lt; 11.25 tons</t>
  </si>
  <si>
    <t>VRF Air Cooled Heat Pumps &gt; 11.25 &amp; &lt; 20 tons</t>
  </si>
  <si>
    <t>VRF Air Cooled Heat Pumps &gt; 20 tons</t>
  </si>
  <si>
    <t xml:space="preserve">Ground Source Heat Pump </t>
  </si>
  <si>
    <t>References: Added and removed spaces from heating types</t>
  </si>
  <si>
    <t>draft8</t>
  </si>
  <si>
    <t>Qualifying Index: Added O96=0 to Duct Sealing Fossil Fuel MMBTU logic</t>
  </si>
  <si>
    <t>Qualifying Index: Added O96=0 to Insulation Fossil Fuel MMBTU logic</t>
  </si>
  <si>
    <t>8.10.21</t>
  </si>
  <si>
    <t>Worksheet: Added Pipe Insulation eligibility</t>
  </si>
  <si>
    <t>Qualifying Index: Added logic for no heating  MMBTUs if there are no fossil fuel MMBTUs</t>
  </si>
  <si>
    <t>draft9</t>
  </si>
  <si>
    <t>Worksheet: Added rebate levels to check boxes</t>
  </si>
  <si>
    <t>Total Estimated Customer Rebate Amount:</t>
  </si>
  <si>
    <t>Total Rebate</t>
  </si>
  <si>
    <t>Calculated Rebate</t>
  </si>
  <si>
    <t>Calculated rebate to expected rebate percentage</t>
  </si>
  <si>
    <t>8.18.21</t>
  </si>
  <si>
    <t>8.17.21</t>
  </si>
  <si>
    <t>Worksheet: Added Total Project Cost</t>
  </si>
  <si>
    <t>draft10</t>
  </si>
  <si>
    <t>Qualifying Index: Added Total Rebate, Total Project Cost, and Calculated Rebate, and %</t>
  </si>
  <si>
    <t>draft11</t>
  </si>
  <si>
    <t>Qualifying Index: Added Calculated rebate to each measure</t>
  </si>
  <si>
    <t>Worksheet: Added new rebate capped message</t>
  </si>
  <si>
    <t>Qualifying Index: Added Pipe Insulation Totals MMBTUs</t>
  </si>
  <si>
    <t>8.19.21</t>
  </si>
  <si>
    <t>Worksheet: Corrected reference cell for Cost for Duct Sealing Rebate (Formula was refencing cell D87 instead of D48)</t>
  </si>
  <si>
    <t>Ts and Cs: Updated formatting in header</t>
  </si>
  <si>
    <t>Draft13</t>
  </si>
  <si>
    <t>Required Docs: Updated formatting in header</t>
  </si>
  <si>
    <t>Guidelines: Updated formatting in header</t>
  </si>
  <si>
    <t>Draft12</t>
  </si>
  <si>
    <t>Qual Index: Corrected R Value Installed Formula</t>
  </si>
  <si>
    <t>Draft14</t>
  </si>
  <si>
    <t>Insulation Eligibility: updated formatting in header</t>
  </si>
  <si>
    <t>8.20.21</t>
  </si>
  <si>
    <t>Changed Effective date</t>
  </si>
  <si>
    <t>Draft16</t>
  </si>
  <si>
    <t>Customer Info: Removed language about ACCA Manual Js. It is not relevant to this application</t>
  </si>
  <si>
    <t>Required Docs: Hid Whole House cASHP check boxes and rows</t>
  </si>
  <si>
    <t>Must carry the designated Underwriters Laboratory (UL) or Electrical Testing Laboratory (ETL) label</t>
  </si>
  <si>
    <t>Where eligible products are required to be listed with an approved rating agency (i.e. ENERGY STAR, CEE, UL, or other approved equivalent), products must be installed and used in accordance with the rating condition for which it was approved at the time such approval was given.</t>
  </si>
  <si>
    <t>All eligibility requirements and deadlines apply.  Eligibility is listed by measure on the Worksheet tab and Insulation Eligibility.</t>
  </si>
  <si>
    <t xml:space="preserve">If the proposed equipment is not listed on the Worksheet tab, refer to the Custom/Custom Retrofit Eligibility requirements and documentation and contact a PSEG Long Island Representative or PSEG Long Island's Infoline at 1-800-692-2626.  Rebate eligibility and amount will be calculated on a case by case basis. </t>
  </si>
  <si>
    <t>Qualifying Index: Removed VALUE errors from the qualifying index when no heating and cooling system is entered. Rebate will default to 0</t>
  </si>
  <si>
    <t>Locked sheets for testing &amp; QC</t>
  </si>
  <si>
    <t>8.23.21</t>
  </si>
  <si>
    <t>Dev Tab: Updated effective date to 10.1.2021 - 12.31.2021</t>
  </si>
  <si>
    <t>Draft17</t>
  </si>
  <si>
    <t>Ts and Cs: Deleted comments and removed highlights</t>
  </si>
  <si>
    <t>Guidelines: Added language to row 7 that NC does not qualify</t>
  </si>
  <si>
    <t>Guidelines: Row 11 - Increased Row height (language was hiddeen)</t>
  </si>
  <si>
    <t>Guidelines: Row 16 - Increased Row height (language was hiddeen)</t>
  </si>
  <si>
    <t xml:space="preserve">Don't forget to check out PSEG Long Island's Commercial HVAC Rebates: </t>
  </si>
  <si>
    <t>Worksheet Tab: Reworded Commercial HVAC offering language in row 38 and added link to commercial page underneath (did not add rows for this)</t>
  </si>
  <si>
    <t>Worksheet Tab: Added Instruction 4 about entering measure project cost and total project cost</t>
  </si>
  <si>
    <t>A Blower Door Test must be conducted before and after air sealing is performed</t>
  </si>
  <si>
    <t>Post Blower Door Test CFM results must be less than the Pre Air Sealing test results</t>
  </si>
  <si>
    <t>Post installation must be compliant with State code ECCCNYS</t>
  </si>
  <si>
    <t>Minimum required R-Value ASHRAE 90.1 2016; See reference table on the Insulation Eligibility tab</t>
  </si>
  <si>
    <t>Insulation rebates are available for ceiling and wall insulation</t>
  </si>
  <si>
    <t>A minimum of 0.5 inches of insulation should be installed</t>
  </si>
  <si>
    <t>Only Electric Domestic Hot Water Heating is eligible for pipe insulation rebate</t>
  </si>
  <si>
    <t>The thickness of the pipe insulation installed must exceed the thickness of the existing pipe insulation</t>
  </si>
  <si>
    <t>Worksheet Tab: Correct Typos and Grammar on page</t>
  </si>
  <si>
    <t>Air Flow Tabs: VBA - Made "Sheet Very Hidden"</t>
  </si>
  <si>
    <t>Smart Tstat Tab: VBA - Made "Sheet Very Hidden"</t>
  </si>
  <si>
    <t xml:space="preserve"> Inspection Form Tabs: VBA - Made "Sheet Very Hidden"</t>
  </si>
  <si>
    <t>Building must be 10,000 Square Feet or less to be eligible.</t>
  </si>
  <si>
    <t>Guidelines: Added Row 8 language - Building must be 10,000 Square Feet or less to be eligible.</t>
  </si>
  <si>
    <t>Draft18</t>
  </si>
  <si>
    <t>Cust Info: Building Size Box: Added data validation and message to not allow entry over 10,000 sq ft</t>
  </si>
  <si>
    <t>8.24.21</t>
  </si>
  <si>
    <t>Qualifying Index: Added Summer and Winter kW to Air Curtains and Pipe Insulation</t>
  </si>
  <si>
    <t>Qualifying Index: Removed VALUE, NA, and DIV0 errors from savings</t>
  </si>
  <si>
    <t>(Feet)</t>
  </si>
  <si>
    <t>Worksheet: Added Validation to all numeric user entry cells to only allow Whole Numbers and Decimals</t>
  </si>
  <si>
    <t>Worksheet: Added Validation to all Post and Installed values so the returned value is more efficient than the Pre or Existing value. Message updated as well</t>
  </si>
  <si>
    <t>Customer Information: Fax input updated to allow large numbers</t>
  </si>
  <si>
    <t>Customer Information: Chnaged Etimated Rebate to a formula that SUMs all rebates</t>
  </si>
  <si>
    <t>8.31.21</t>
  </si>
  <si>
    <t>Worksheet: Changed the pre and post CFM data validaion so the post is less than the existing</t>
  </si>
  <si>
    <t>Both Insulation and Air Sealing must be installed for project to qualify for rebates.</t>
  </si>
  <si>
    <t>9.2.21</t>
  </si>
  <si>
    <t>Guidelines: added insulation and air sealing requirement language to line 9</t>
  </si>
  <si>
    <t>Draft 22</t>
  </si>
  <si>
    <t>Customer Info: unlocked cell J16 ("Other" building type description)</t>
  </si>
  <si>
    <t>Customer Info: Adjusted formatting on Contractor phone number cells to be left-aligned, consistent with other phone number fields</t>
  </si>
  <si>
    <t>9.8.21</t>
  </si>
  <si>
    <t>Qualifying Index: Removed #Value errors from CO2 calc</t>
  </si>
  <si>
    <t>Qualifying Index: Removed value errors from eflh heating</t>
  </si>
  <si>
    <t>References: Added lower limit to the equipment size table of "0"</t>
  </si>
  <si>
    <t>Worksheet: Conditioned Floor Area had added Data Validation to ensure area is less than10000</t>
  </si>
  <si>
    <t>Worksheet: added data vaildation for horsepower &lt;20hp</t>
  </si>
  <si>
    <t>For Lighting and Standard rebates please visit:</t>
  </si>
  <si>
    <t>Air Sealing must be installed for all projects</t>
  </si>
  <si>
    <t>Insulation must be installed for all projects</t>
  </si>
  <si>
    <t xml:space="preserve">    </t>
  </si>
  <si>
    <t>If customer has participated in any other state or utility sponsored rebate program, related to the technology in this application, please contact a PSEG Long Island Representative to determine whether the project is also eligible under this program.</t>
  </si>
  <si>
    <t>Guidelines tab: added the following language to row 23:</t>
  </si>
  <si>
    <t>9.24.21</t>
  </si>
  <si>
    <t>All projects are subject to a Pre-inspection. Existing buildings qualify only; New Construction buildings are not eligible.</t>
  </si>
  <si>
    <t>9.29.21</t>
  </si>
  <si>
    <t>Required Docs: Changed Inspection Responsible Party to Customer/Applicant</t>
  </si>
  <si>
    <t>Required Docs: Added note that in person inspections are suspended and the PSEG project representitive can help them with what is required to be in those photos</t>
  </si>
  <si>
    <t>Draft 28</t>
  </si>
  <si>
    <t>Delta Temp, Cooling</t>
  </si>
  <si>
    <t>Delta Temp, Heating</t>
  </si>
  <si>
    <t>Specific heat capacity (Cp)</t>
  </si>
  <si>
    <t>Latent Multiplier (LM)</t>
  </si>
  <si>
    <t>9.6.22</t>
  </si>
  <si>
    <t>2023_Version 1.0_draft1</t>
  </si>
  <si>
    <t>Qualifying Index: Updated Savings Formulas to 2023 methodology</t>
  </si>
  <si>
    <t>References: Updated Duct Sealing Reference Table to match 2023 TRM</t>
  </si>
  <si>
    <t>CDD</t>
  </si>
  <si>
    <t>HDD</t>
  </si>
  <si>
    <t>Fn,cooling</t>
  </si>
  <si>
    <t>Fn,heating</t>
  </si>
  <si>
    <t>LM</t>
  </si>
  <si>
    <t>Shielding Class</t>
  </si>
  <si>
    <t>No shielding on any side</t>
  </si>
  <si>
    <t>A collection of obstructions within 25 feet</t>
  </si>
  <si>
    <t>Substantial number of obstructions shield most of the perimeter - typical suburban setting</t>
  </si>
  <si>
    <t>Building surrounded by large structures - typical urban setting</t>
  </si>
  <si>
    <t>F,framing</t>
  </si>
  <si>
    <t>Rebate Cost Cap</t>
  </si>
  <si>
    <t>9.30.22</t>
  </si>
  <si>
    <t>Worksheet: Removed Project Cost cell</t>
  </si>
  <si>
    <t>draft2</t>
  </si>
  <si>
    <t>Qualifying Index: Sum individual measure costs instead of referencing a total project cost cell</t>
  </si>
  <si>
    <t>Qualifying Index: Reference 80% cost cap on references tab</t>
  </si>
  <si>
    <t xml:space="preserve">References: Added 80% for rebate cost cap </t>
  </si>
  <si>
    <t>Guidelines: Updated cost cap to 80%</t>
  </si>
  <si>
    <t>draft3</t>
  </si>
  <si>
    <t>Once a rebate amount is pre-approved, PSEG Long Island will pay the customer no more than 80% of the installed cost of the ECM, or the pre-approved rebate amount, whichever is less.</t>
  </si>
  <si>
    <t>Opaque Elements</t>
  </si>
  <si>
    <t>Assembly Maximum</t>
  </si>
  <si>
    <t>Insulation Min. R-Value</t>
  </si>
  <si>
    <t>Nonresidential</t>
  </si>
  <si>
    <t>Roofs</t>
  </si>
  <si>
    <t>Wall, above Grade</t>
  </si>
  <si>
    <t>Wall, below Grade</t>
  </si>
  <si>
    <t>Floors</t>
  </si>
  <si>
    <t>Slab-on-Grade Floors</t>
  </si>
  <si>
    <t>Opaque Doors</t>
  </si>
  <si>
    <t>Fenestration</t>
  </si>
  <si>
    <t>Assembly Max. U</t>
  </si>
  <si>
    <t>Assembly Min. VTISHGC</t>
  </si>
  <si>
    <t>Skylight, 0% to 3% of Roof</t>
  </si>
  <si>
    <t>Insulation entirely above deck</t>
  </si>
  <si>
    <t>Metal building</t>
  </si>
  <si>
    <t>Attic and other</t>
  </si>
  <si>
    <t>Mass</t>
  </si>
  <si>
    <t>Steel-framed</t>
  </si>
  <si>
    <t>Wood-framed and other</t>
  </si>
  <si>
    <t>Below-grade wall</t>
  </si>
  <si>
    <t>Steel joist</t>
  </si>
  <si>
    <t>Unheated</t>
  </si>
  <si>
    <t>Heated</t>
  </si>
  <si>
    <t>Swinging</t>
  </si>
  <si>
    <t>Nonswinging</t>
  </si>
  <si>
    <t>Vertical Fenestration, 0% to 40% of Wall</t>
  </si>
  <si>
    <t>for all frame types</t>
  </si>
  <si>
    <t>Nnmetal framing, all</t>
  </si>
  <si>
    <t>Metal framing, fixed</t>
  </si>
  <si>
    <t>Metal framing, operable</t>
  </si>
  <si>
    <t>Metal framing, entrance door</t>
  </si>
  <si>
    <t>All types</t>
  </si>
  <si>
    <t>NR</t>
  </si>
  <si>
    <t>U-0.032</t>
  </si>
  <si>
    <t>U-0.037</t>
  </si>
  <si>
    <t>U-0.021</t>
  </si>
  <si>
    <t>R-30 c.i.</t>
  </si>
  <si>
    <t>R-19 + R-11 Ls or
R-25 + R-8 Ls</t>
  </si>
  <si>
    <t>R-49</t>
  </si>
  <si>
    <t>U-0.104</t>
  </si>
  <si>
    <t>U-.060</t>
  </si>
  <si>
    <t>U-0.064</t>
  </si>
  <si>
    <t>R-9.5 c.i.</t>
  </si>
  <si>
    <t>R-0 +R-15.8 c.i.</t>
  </si>
  <si>
    <t>R-13 + R-7.5 c.i.</t>
  </si>
  <si>
    <t>R-13 + R-3.8 c.i. 
or R-20</t>
  </si>
  <si>
    <t>C-0.119</t>
  </si>
  <si>
    <t>R-7.5 c.i.</t>
  </si>
  <si>
    <t>U-0.057</t>
  </si>
  <si>
    <t>U-0.038</t>
  </si>
  <si>
    <t>U-0.033</t>
  </si>
  <si>
    <t>R-14.6 c.i.</t>
  </si>
  <si>
    <t>R-30</t>
  </si>
  <si>
    <t>F-0.520</t>
  </si>
  <si>
    <t>F-0.843</t>
  </si>
  <si>
    <t>R-15 for 24in.</t>
  </si>
  <si>
    <t>R-20 for 24in.</t>
  </si>
  <si>
    <t>U-0.370</t>
  </si>
  <si>
    <t>U-0.310</t>
  </si>
  <si>
    <t>Air Conditioners - Air Cooled Single Package &gt; 5.4 &amp; &lt; 11.25 tons</t>
  </si>
  <si>
    <t>Must be installed between a conditioned indoor space and unconditioned space</t>
  </si>
  <si>
    <t>Height:</t>
  </si>
  <si>
    <t>Organization Type</t>
  </si>
  <si>
    <t>Government</t>
  </si>
  <si>
    <t>Incorporated</t>
  </si>
  <si>
    <t>Not Incorporated</t>
  </si>
  <si>
    <t>Rebate Payment Method</t>
  </si>
  <si>
    <t>Check to Customer</t>
  </si>
  <si>
    <t>Assigned to Contractor</t>
  </si>
  <si>
    <t>Rebates will be capped based on the total cost of the project</t>
  </si>
  <si>
    <t>https://www.psegliny.com/businessandcontractorservices/businessandcommercialsavings/rebates</t>
  </si>
  <si>
    <t>If the exact diameter or thickness is not available, please select the closest value</t>
  </si>
  <si>
    <t>Tax ID:</t>
  </si>
  <si>
    <t>10.10.22</t>
  </si>
  <si>
    <t>Insulation Eligibility: Created table to replace screenshot</t>
  </si>
  <si>
    <t>Worksheet: Removed Location Attribute from Insulation</t>
  </si>
  <si>
    <t>Worksheet: Removed error message in Air Sealing in wrong spot</t>
  </si>
  <si>
    <t>References: Electric Furnace Fossil Fuel T/F changed to FALSE</t>
  </si>
  <si>
    <t>References: Fixed Air Cooled Air Conditioner Single Package &gt;5.4 &amp; &lt;11.25 in table lookup. "&lt;" was missing</t>
  </si>
  <si>
    <t>Guidelines: "All projects are subject to Pre-Inspection" wording was added to pre inspection requirement</t>
  </si>
  <si>
    <t>Qualifying Index: Multiplied savings by Sqft</t>
  </si>
  <si>
    <t>Worksheet: Added "conditioned" to the indoor/outdor criteria for Air Curtains</t>
  </si>
  <si>
    <t>Worksheet: Added height entry for the Air Curtain measure</t>
  </si>
  <si>
    <t>References: Added Pipe Diameter 0.5 for pipe insulation table</t>
  </si>
  <si>
    <t>References: water temp from 140 to 125</t>
  </si>
  <si>
    <t>References: Electric Storage Water Heater efficiency updated to 0.98</t>
  </si>
  <si>
    <t>Customer Information: Changed Organization Type, Building Type, and Payment Type to dropdowns</t>
  </si>
  <si>
    <t>References: Chnaged building type look up t be based on new drop downs</t>
  </si>
  <si>
    <t>Guidelines: increased font for the email address to 14 pt font</t>
  </si>
  <si>
    <t>Worksheet: Changed Worksheet instruction #4 to read "Rebates will be capped based on the total cost of the project"</t>
  </si>
  <si>
    <t>Worksheet: Edited hyperlink to PSEGLI CEP rebate page</t>
  </si>
  <si>
    <t>Worksheet: Added Pipe Insulation eligibility to select nearest value</t>
  </si>
  <si>
    <t>10.11.22</t>
  </si>
  <si>
    <t>Worksheet fixed rounding and commas for measure inputs</t>
  </si>
  <si>
    <t>draft5</t>
  </si>
  <si>
    <t>All tabs: Removed "We make things work for you" from PSEG images</t>
  </si>
  <si>
    <t>System</t>
  </si>
  <si>
    <t>Test In (CFM 25)</t>
  </si>
  <si>
    <t>Test Out (CFM 25)</t>
  </si>
  <si>
    <t>Notes</t>
  </si>
  <si>
    <t>Windows:</t>
  </si>
  <si>
    <t>Chimney:</t>
  </si>
  <si>
    <t>Flue:</t>
  </si>
  <si>
    <t>Dryer Vent:</t>
  </si>
  <si>
    <t>Kitchen Vent:</t>
  </si>
  <si>
    <t>HVAC Vents:</t>
  </si>
  <si>
    <t>Plumbing:</t>
  </si>
  <si>
    <t>Wire Penetrations:</t>
  </si>
  <si>
    <t>Blower Door Test:</t>
  </si>
  <si>
    <t>Test in (CFM75):</t>
  </si>
  <si>
    <t>Test out (CFM75):</t>
  </si>
  <si>
    <t>10.13.22</t>
  </si>
  <si>
    <t>Pre Inspection Form: Deleted</t>
  </si>
  <si>
    <t>draft6</t>
  </si>
  <si>
    <t>Post Inspection Form: Changed to Inspection Form</t>
  </si>
  <si>
    <t>Post Inspection Form: Added section for Duct Sealing</t>
  </si>
  <si>
    <t>Post Inspection Form: Added section for Air Sealing</t>
  </si>
  <si>
    <t>Post Inspection Form: Added section for Insulation</t>
  </si>
  <si>
    <t xml:space="preserve">Square Footage </t>
  </si>
  <si>
    <t>R-Value</t>
  </si>
  <si>
    <t>Insulation Material</t>
  </si>
  <si>
    <t>*If Spray Foam is used, please not if thermal barrier or ignition is used</t>
  </si>
  <si>
    <t>Notes*</t>
  </si>
  <si>
    <t>New Air Curtain Installed?</t>
  </si>
  <si>
    <t>Length of Doorway</t>
  </si>
  <si>
    <t>Height of Doorway</t>
  </si>
  <si>
    <t>Water Heater Type</t>
  </si>
  <si>
    <t>Length of Insulation</t>
  </si>
  <si>
    <t>Insulation Thickness</t>
  </si>
  <si>
    <t>Are there breaks in the insulation, gaps between lengths, or uninsulated corners?</t>
  </si>
  <si>
    <t>Is the insulation fastend down with zip ties or othermeans?</t>
  </si>
  <si>
    <t>Enter "Yes" for areas that have been sealed between conditioned and unconditioned spaces:</t>
  </si>
  <si>
    <t>10.14.22</t>
  </si>
  <si>
    <t>Post Inspection Form: Added section for Air Curtains</t>
  </si>
  <si>
    <t>darft7</t>
  </si>
  <si>
    <t>Post Inspection Form: Added section for Pipe Insulation</t>
  </si>
  <si>
    <t>Worksheet: Added new named ranges to be used in the "Clear Inputs" macro</t>
  </si>
  <si>
    <t>Worksheet: Added Check box to hide/unhide Inspection Form</t>
  </si>
  <si>
    <t>Post Installation</t>
  </si>
  <si>
    <t>Glossary</t>
  </si>
  <si>
    <r>
      <rPr>
        <b/>
        <u/>
        <sz val="11"/>
        <rFont val="Arial Narrow"/>
        <family val="2"/>
      </rPr>
      <t>Blower Door Test:</t>
    </r>
    <r>
      <rPr>
        <sz val="11"/>
        <rFont val="Arial Narrow"/>
        <family val="2"/>
      </rPr>
      <t xml:space="preserve"> A test is performed to measure the leakage rate by depressurizing the building to a standard pressure difference of 75 Pascals or 0.3 inches of water. The flowrate indicates the leakage rate, or infiltration and exfiltration rate, of the building shell.</t>
    </r>
  </si>
  <si>
    <r>
      <rPr>
        <b/>
        <u/>
        <sz val="11"/>
        <rFont val="Arial Narrow"/>
        <family val="2"/>
      </rPr>
      <t>Primary Heating System:</t>
    </r>
    <r>
      <rPr>
        <sz val="11"/>
        <rFont val="Arial Narrow"/>
        <family val="2"/>
      </rPr>
      <t xml:space="preserve"> The main, or larger heating systems used to heat the majority of the  indoor space.</t>
    </r>
  </si>
  <si>
    <r>
      <rPr>
        <b/>
        <u/>
        <sz val="12"/>
        <rFont val="Arial Narrow"/>
        <family val="2"/>
      </rPr>
      <t>Secondary Heating System:</t>
    </r>
    <r>
      <rPr>
        <sz val="12"/>
        <rFont val="Arial Narrow"/>
        <family val="2"/>
      </rPr>
      <t xml:space="preserve"> The smaller heating system, used in cases where additional heat is needed</t>
    </r>
  </si>
  <si>
    <r>
      <rPr>
        <b/>
        <u/>
        <sz val="12"/>
        <rFont val="Arial Narrow"/>
        <family val="2"/>
      </rPr>
      <t>Primary Cooling System:</t>
    </r>
    <r>
      <rPr>
        <sz val="12"/>
        <rFont val="Arial Narrow"/>
        <family val="2"/>
      </rPr>
      <t xml:space="preserve"> The main, or larger cooling systems used to cool the majority of the indoor space indoor space.</t>
    </r>
  </si>
  <si>
    <r>
      <rPr>
        <b/>
        <u/>
        <sz val="12"/>
        <rFont val="Arial Narrow"/>
        <family val="2"/>
      </rPr>
      <t>Secondary Cooling System:</t>
    </r>
    <r>
      <rPr>
        <sz val="12"/>
        <rFont val="Arial Narrow"/>
        <family val="2"/>
      </rPr>
      <t xml:space="preserve"> The smaller cooling system, used in cases where additional cooling is needed</t>
    </r>
  </si>
  <si>
    <r>
      <rPr>
        <b/>
        <u/>
        <sz val="12"/>
        <rFont val="Arial Narrow"/>
        <family val="2"/>
      </rPr>
      <t>Sheilding Class:</t>
    </r>
    <r>
      <rPr>
        <sz val="12"/>
        <rFont val="Arial Narrow"/>
        <family val="2"/>
      </rPr>
      <t xml:space="preserve"> Used to determine the surrounding area of the building being weatherized. The sheilding class notes if there are many surrounding buildings, trees and structures, or not.</t>
    </r>
  </si>
  <si>
    <r>
      <rPr>
        <b/>
        <u/>
        <sz val="12"/>
        <rFont val="Arial Narrow"/>
        <family val="2"/>
      </rPr>
      <t xml:space="preserve">Total Duct Leakage Test: </t>
    </r>
    <r>
      <rPr>
        <sz val="12"/>
        <rFont val="Arial Narrow"/>
        <family val="2"/>
      </rPr>
      <t>Measures how much air leakage there is for all of the ductwork connected to the HVAC system, including ducts located both outdoors and indoors. A Duct Blaster fan is used  to pressurize (or depressurize) the ductwork to 25 pascals. Leave at least one door or window open between the building and outside to prevent changes in building pressure. Once a steady 25 pascals of pressure is reached in the duct system, note the manometer reading for CFM.</t>
    </r>
  </si>
  <si>
    <t>(tons)</t>
  </si>
  <si>
    <t>Worksheet: changed cooling btu to tons</t>
  </si>
  <si>
    <t>Qualifying Index: convert tons capacity to btu</t>
  </si>
  <si>
    <t>Glossary: Added new tab</t>
  </si>
  <si>
    <t>…please select…</t>
  </si>
  <si>
    <t>10.21.22</t>
  </si>
  <si>
    <t>Customer Inforamtion: Chnaged Fax formatting</t>
  </si>
  <si>
    <t>Required Docs: Removed Covid  inpsection language</t>
  </si>
  <si>
    <t>Qualifying Index: Updated electric efficinecy total formula</t>
  </si>
  <si>
    <t>Air Conditioners - Air Cooled Single Package &gt; 11.25 &amp; &lt; 20 tons</t>
  </si>
  <si>
    <t>Air Conditioners - Air Cooled Single Package &gt; 20 &amp; &lt; 63 tons</t>
  </si>
  <si>
    <t xml:space="preserve">Packaged Terminal Air Conditioners </t>
  </si>
  <si>
    <t>Room Air Conditioners &lt; 1/2 tons</t>
  </si>
  <si>
    <t>Room Air Conditioners &gt; 1/2 &amp; &lt; 2/3 tons</t>
  </si>
  <si>
    <t>Room Air Conditioners &gt; 2/3 &amp; &lt; 1 1/6 tons</t>
  </si>
  <si>
    <t>Room Air Conditioners &gt; 1 1/6 &amp; &lt; 1 2/3 tons</t>
  </si>
  <si>
    <t>Room Air Conditioners &gt; 1 2/3 tons</t>
  </si>
  <si>
    <r>
      <rPr>
        <b/>
        <u/>
        <sz val="12"/>
        <rFont val="Arial Narrow"/>
        <family val="2"/>
      </rPr>
      <t>Manometer:</t>
    </r>
    <r>
      <rPr>
        <sz val="12"/>
        <rFont val="Arial Narrow"/>
        <family val="2"/>
      </rPr>
      <t xml:space="preserve"> A tool that measures both air pressure, velocity, and air volume for a blower door test</t>
    </r>
  </si>
  <si>
    <t>Worksheet: Changed Data validation for ton for cooling capacity</t>
  </si>
  <si>
    <t>10.28.22</t>
  </si>
  <si>
    <t>Guideline: Moved multiple utility rebate guideline towards top of the list</t>
  </si>
  <si>
    <t>Worksheet: Added "per Location" to the Duct Sealing rebate</t>
  </si>
  <si>
    <t>% Hours Operation</t>
  </si>
  <si>
    <t>Daily Facility Hours:</t>
  </si>
  <si>
    <t>References: Added Air Curtain section so % of Hours Operation could be entered</t>
  </si>
  <si>
    <t>Customer Information: Added Daily Facilty Hours user entry</t>
  </si>
  <si>
    <t>Qualifying Index: Changed hours for air curtains to be new Customer Information Daily Facility Hours and % of hours of operation</t>
  </si>
  <si>
    <t>11.02.2022</t>
  </si>
  <si>
    <t>Qual Index Tab: Updated PRECFM/SF and PostCFM/SF - Removed "/SF" from header and formulas</t>
  </si>
  <si>
    <t>forLaunch</t>
  </si>
  <si>
    <t>11.07.2022</t>
  </si>
  <si>
    <t>11.08.2022</t>
  </si>
  <si>
    <t>Calculations: Added Heating % to Air Sealing, Insulation and Air Curtains</t>
  </si>
  <si>
    <t>Calculations: Added more =0 statements to pipe insulation</t>
  </si>
  <si>
    <t>Worksheet: Added error message for missing Daily Facility hours for Air Curtains</t>
  </si>
  <si>
    <t>Calculations: changed Air Sealing Cooling kWh to reference G95=""</t>
  </si>
  <si>
    <t>Calculations: Air Curtains rebate will be 0 if savings are &lt;=0</t>
  </si>
  <si>
    <t>For Launch</t>
  </si>
  <si>
    <t>11.10.22</t>
  </si>
  <si>
    <t>Locked and finalized for 2023 early launch</t>
  </si>
  <si>
    <t>Version1.0</t>
  </si>
  <si>
    <t>For Online Submissions:</t>
  </si>
  <si>
    <t>www.pseglinyportal.com</t>
  </si>
  <si>
    <t>9.6.23</t>
  </si>
  <si>
    <t>Dev Tab: Updated effective date, draft, and date for 2024 development</t>
  </si>
  <si>
    <t>V1_Draft1</t>
  </si>
  <si>
    <t>Total rebates will be capped at 70% of total project cost.</t>
  </si>
  <si>
    <t>Guidelines Tab: Updated cost cap to 70% from 80% to be consistent with other CEP offerings</t>
  </si>
  <si>
    <t>All Tabs: Updated header colors and logo</t>
  </si>
  <si>
    <t>Ref Tab: Updated TAVG Cooling and TVAG Heating factors per 2024 TRM for Duct Sealing. Duct Sealing QC-ed. No other edits needed.</t>
  </si>
  <si>
    <t>Ref Tab: Air Sealing - Updated CF per 2024 TRM</t>
  </si>
  <si>
    <t>Ref Tab: Air Sealing - Updated CDD abd HDD per 2024 TRM</t>
  </si>
  <si>
    <t>9.7.23</t>
  </si>
  <si>
    <t>V1_Draft2</t>
  </si>
  <si>
    <t>Ref Tab: Air Sealing - Updated Cooling kWh, Heating kWh,Summer kW formulas per the 2024 TRM</t>
  </si>
  <si>
    <t>9.8.23</t>
  </si>
  <si>
    <t>Reb Tab: Insulation: Updated CF per 2024 TRM</t>
  </si>
  <si>
    <t>V1_Draft3</t>
  </si>
  <si>
    <t>Qual Index: Air Curtains - T Outdoor Heating update per 2024 TRM</t>
  </si>
  <si>
    <t>Ref Tab: Updated rebate cost cap to 70% from 80%</t>
  </si>
  <si>
    <t>Duct Sealing - $200 per Location</t>
  </si>
  <si>
    <t>Air Sealing - $0.15/sqft</t>
  </si>
  <si>
    <t>Envelope Insulation - $0.50/sqft</t>
  </si>
  <si>
    <t>Air Curtains - $500/Unit</t>
  </si>
  <si>
    <t>Pipe Insulation - $10/Linear Foot</t>
  </si>
  <si>
    <t>9.28.23</t>
  </si>
  <si>
    <t>Updated file type to .xlsx</t>
  </si>
  <si>
    <t>Worksheet Tab: Removed all macros</t>
  </si>
  <si>
    <t>Please note, all emails from the Partner Portal will be from the following email address: psegpartnersupport@trccompanies.com</t>
  </si>
  <si>
    <t>2.13.24</t>
  </si>
  <si>
    <t>Locked and final</t>
  </si>
  <si>
    <t>SB</t>
  </si>
  <si>
    <t>V1.0</t>
  </si>
  <si>
    <t>Worksheet</t>
  </si>
  <si>
    <t>Calculations</t>
  </si>
  <si>
    <t>Conversion Factor</t>
  </si>
  <si>
    <t>8.22.24</t>
  </si>
  <si>
    <t>Updated Version Number, Program Year and Effective Date.</t>
  </si>
  <si>
    <t>EM</t>
  </si>
  <si>
    <t>v1.0_Draft3</t>
  </si>
  <si>
    <t>Reformatted all of references table</t>
  </si>
  <si>
    <t>Potential Junk</t>
  </si>
  <si>
    <t>Dormitory</t>
  </si>
  <si>
    <t>Elementary School</t>
  </si>
  <si>
    <t>EUL (years)</t>
  </si>
  <si>
    <t>Source</t>
  </si>
  <si>
    <t>NYS TRM v11</t>
  </si>
  <si>
    <t>Measure Baseline Characterization</t>
  </si>
  <si>
    <t>New or End of Life</t>
  </si>
  <si>
    <t>Utility Gross Savings Algorithms</t>
  </si>
  <si>
    <t>Metric</t>
  </si>
  <si>
    <t>Algorithm</t>
  </si>
  <si>
    <t>Customer Meter</t>
  </si>
  <si>
    <r>
      <t>kW =  kWh</t>
    </r>
    <r>
      <rPr>
        <vertAlign val="subscript"/>
        <sz val="11"/>
        <color theme="1"/>
        <rFont val="Corbel"/>
        <family val="2"/>
      </rPr>
      <t>cooling</t>
    </r>
    <r>
      <rPr>
        <sz val="11"/>
        <color theme="1"/>
        <rFont val="Corbel"/>
        <family val="2"/>
      </rPr>
      <t>/EFLH</t>
    </r>
    <r>
      <rPr>
        <vertAlign val="subscript"/>
        <sz val="11"/>
        <color theme="1"/>
        <rFont val="Corbel"/>
        <family val="2"/>
      </rPr>
      <t>cooling</t>
    </r>
  </si>
  <si>
    <r>
      <t>kWh</t>
    </r>
    <r>
      <rPr>
        <vertAlign val="subscript"/>
        <sz val="11"/>
        <color theme="1"/>
        <rFont val="Corbel"/>
        <family val="2"/>
      </rPr>
      <t>ee</t>
    </r>
  </si>
  <si>
    <r>
      <t>kWh</t>
    </r>
    <r>
      <rPr>
        <vertAlign val="subscript"/>
        <sz val="11"/>
        <color theme="1"/>
        <rFont val="Corbel"/>
        <family val="2"/>
      </rPr>
      <t>ee</t>
    </r>
    <r>
      <rPr>
        <sz val="11"/>
        <color theme="1"/>
        <rFont val="Corbel"/>
        <family val="2"/>
      </rPr>
      <t xml:space="preserve"> = kWh</t>
    </r>
    <r>
      <rPr>
        <vertAlign val="subscript"/>
        <sz val="11"/>
        <color theme="1"/>
        <rFont val="Corbel"/>
        <family val="2"/>
      </rPr>
      <t>cooling</t>
    </r>
    <r>
      <rPr>
        <sz val="11"/>
        <color theme="1"/>
        <rFont val="Corbel"/>
        <family val="2"/>
      </rPr>
      <t xml:space="preserve"> + kWh</t>
    </r>
    <r>
      <rPr>
        <vertAlign val="subscript"/>
        <sz val="11"/>
        <color theme="1"/>
        <rFont val="Corbel"/>
        <family val="2"/>
      </rPr>
      <t>heating</t>
    </r>
    <r>
      <rPr>
        <sz val="11"/>
        <color theme="1"/>
        <rFont val="Corbel"/>
        <family val="2"/>
      </rPr>
      <t xml:space="preserve">
where,
kWh</t>
    </r>
    <r>
      <rPr>
        <vertAlign val="subscript"/>
        <sz val="11"/>
        <color theme="1"/>
        <rFont val="Corbel"/>
        <family val="2"/>
      </rPr>
      <t>cooling</t>
    </r>
    <r>
      <rPr>
        <sz val="11"/>
        <color theme="1"/>
        <rFont val="Corbel"/>
        <family val="2"/>
      </rPr>
      <t xml:space="preserve"> = 60 * ΔCFM</t>
    </r>
    <r>
      <rPr>
        <vertAlign val="subscript"/>
        <sz val="11"/>
        <color theme="1"/>
        <rFont val="Corbel"/>
        <family val="2"/>
      </rPr>
      <t xml:space="preserve">25 </t>
    </r>
    <r>
      <rPr>
        <sz val="11"/>
        <color theme="1"/>
        <rFont val="Corbel"/>
        <family val="2"/>
      </rPr>
      <t>* ΔT</t>
    </r>
    <r>
      <rPr>
        <vertAlign val="subscript"/>
        <sz val="11"/>
        <color theme="1"/>
        <rFont val="Corbel"/>
        <family val="2"/>
      </rPr>
      <t>avg,cooling</t>
    </r>
    <r>
      <rPr>
        <sz val="11"/>
        <color theme="1"/>
        <rFont val="Corbel"/>
        <family val="2"/>
      </rPr>
      <t xml:space="preserve"> * Cp</t>
    </r>
    <r>
      <rPr>
        <vertAlign val="subscript"/>
        <sz val="11"/>
        <color theme="1"/>
        <rFont val="Corbel"/>
        <family val="2"/>
      </rPr>
      <t xml:space="preserve">air </t>
    </r>
    <r>
      <rPr>
        <sz val="11"/>
        <color theme="1"/>
        <rFont val="Corbel"/>
        <family val="2"/>
      </rPr>
      <t>* LM * EFLH</t>
    </r>
    <r>
      <rPr>
        <vertAlign val="subscript"/>
        <sz val="11"/>
        <color theme="1"/>
        <rFont val="Corbel"/>
        <family val="2"/>
      </rPr>
      <t>cooling</t>
    </r>
    <r>
      <rPr>
        <sz val="11"/>
        <color theme="1"/>
        <rFont val="Corbel"/>
        <family val="2"/>
      </rPr>
      <t xml:space="preserve"> / (1,000 * </t>
    </r>
    <r>
      <rPr>
        <sz val="11"/>
        <color theme="1"/>
        <rFont val="Calibri"/>
        <family val="2"/>
      </rPr>
      <t>η</t>
    </r>
    <r>
      <rPr>
        <vertAlign val="subscript"/>
        <sz val="11"/>
        <color theme="1"/>
        <rFont val="Corbel"/>
        <family val="2"/>
      </rPr>
      <t>cooling</t>
    </r>
    <r>
      <rPr>
        <sz val="11"/>
        <color theme="1"/>
        <rFont val="Corbel"/>
        <family val="2"/>
      </rPr>
      <t xml:space="preserve">)
</t>
    </r>
    <r>
      <rPr>
        <b/>
        <sz val="11"/>
        <color theme="1"/>
        <rFont val="Corbel"/>
        <family val="2"/>
      </rPr>
      <t>If heating system is electric resistance or heat pump:</t>
    </r>
    <r>
      <rPr>
        <sz val="11"/>
        <color theme="1"/>
        <rFont val="Corbel"/>
        <family val="2"/>
      </rPr>
      <t xml:space="preserve">
kWh</t>
    </r>
    <r>
      <rPr>
        <vertAlign val="subscript"/>
        <sz val="11"/>
        <color theme="1"/>
        <rFont val="Corbel"/>
        <family val="2"/>
      </rPr>
      <t>heating</t>
    </r>
    <r>
      <rPr>
        <sz val="11"/>
        <color theme="1"/>
        <rFont val="Corbel"/>
        <family val="2"/>
      </rPr>
      <t xml:space="preserve"> = 60 * ΔCFM25 * ΔT</t>
    </r>
    <r>
      <rPr>
        <vertAlign val="subscript"/>
        <sz val="11"/>
        <color theme="1"/>
        <rFont val="Corbel"/>
        <family val="2"/>
      </rPr>
      <t>avg,heating</t>
    </r>
    <r>
      <rPr>
        <sz val="11"/>
        <color theme="1"/>
        <rFont val="Corbel"/>
        <family val="2"/>
      </rPr>
      <t xml:space="preserve"> * Cp</t>
    </r>
    <r>
      <rPr>
        <vertAlign val="subscript"/>
        <sz val="11"/>
        <color theme="1"/>
        <rFont val="Corbel"/>
        <family val="2"/>
      </rPr>
      <t>air</t>
    </r>
    <r>
      <rPr>
        <sz val="11"/>
        <color theme="1"/>
        <rFont val="Corbel"/>
        <family val="2"/>
      </rPr>
      <t xml:space="preserve"> * EFLH</t>
    </r>
    <r>
      <rPr>
        <vertAlign val="subscript"/>
        <sz val="11"/>
        <color theme="1"/>
        <rFont val="Corbel"/>
        <family val="2"/>
      </rPr>
      <t xml:space="preserve">heating </t>
    </r>
    <r>
      <rPr>
        <sz val="11"/>
        <color theme="1"/>
        <rFont val="Corbel"/>
        <family val="2"/>
      </rPr>
      <t>/ (3,412 * COP</t>
    </r>
    <r>
      <rPr>
        <vertAlign val="subscript"/>
        <sz val="11"/>
        <color theme="1"/>
        <rFont val="Corbel"/>
        <family val="2"/>
      </rPr>
      <t>heating</t>
    </r>
    <r>
      <rPr>
        <sz val="11"/>
        <color theme="1"/>
        <rFont val="Corbel"/>
        <family val="2"/>
      </rPr>
      <t>)</t>
    </r>
    <r>
      <rPr>
        <i/>
        <sz val="11"/>
        <color theme="1"/>
        <rFont val="Corbel"/>
        <family val="2"/>
      </rPr>
      <t xml:space="preserve">
</t>
    </r>
    <r>
      <rPr>
        <b/>
        <i/>
        <sz val="11"/>
        <color theme="1"/>
        <rFont val="Corbel"/>
        <family val="2"/>
      </rPr>
      <t xml:space="preserve">
</t>
    </r>
    <r>
      <rPr>
        <b/>
        <sz val="11"/>
        <color theme="1"/>
        <rFont val="Corbel"/>
        <family val="2"/>
      </rPr>
      <t>If heating system is fossil-fuel fired:</t>
    </r>
    <r>
      <rPr>
        <sz val="11"/>
        <color theme="1"/>
        <rFont val="Corbel"/>
        <family val="2"/>
      </rPr>
      <t xml:space="preserve">
kWh</t>
    </r>
    <r>
      <rPr>
        <vertAlign val="subscript"/>
        <sz val="11"/>
        <color theme="1"/>
        <rFont val="Corbel"/>
        <family val="2"/>
      </rPr>
      <t>heating</t>
    </r>
    <r>
      <rPr>
        <sz val="11"/>
        <color theme="1"/>
        <rFont val="Corbel"/>
        <family val="2"/>
      </rPr>
      <t xml:space="preserve"> = 0</t>
    </r>
  </si>
  <si>
    <r>
      <t>kWh</t>
    </r>
    <r>
      <rPr>
        <vertAlign val="subscript"/>
        <sz val="11"/>
        <color theme="1"/>
        <rFont val="Corbel"/>
        <family val="2"/>
      </rPr>
      <t>be</t>
    </r>
  </si>
  <si>
    <r>
      <t>kWh</t>
    </r>
    <r>
      <rPr>
        <vertAlign val="subscript"/>
        <sz val="11"/>
        <color theme="1"/>
        <rFont val="Corbel"/>
        <family val="2"/>
      </rPr>
      <t>be</t>
    </r>
    <r>
      <rPr>
        <sz val="11"/>
        <color theme="1"/>
        <rFont val="Corbel"/>
        <family val="2"/>
      </rPr>
      <t xml:space="preserve"> = 0</t>
    </r>
  </si>
  <si>
    <t>ΔkWh</t>
  </si>
  <si>
    <r>
      <t>ΔkWh = kWh</t>
    </r>
    <r>
      <rPr>
        <vertAlign val="subscript"/>
        <sz val="11"/>
        <color theme="1"/>
        <rFont val="Corbel"/>
        <family val="2"/>
      </rPr>
      <t>ee</t>
    </r>
    <r>
      <rPr>
        <sz val="11"/>
        <color theme="1"/>
        <rFont val="Corbel"/>
        <family val="2"/>
      </rPr>
      <t xml:space="preserve"> - kWh</t>
    </r>
    <r>
      <rPr>
        <vertAlign val="subscript"/>
        <sz val="11"/>
        <color theme="1"/>
        <rFont val="Corbel"/>
        <family val="2"/>
      </rPr>
      <t>be</t>
    </r>
  </si>
  <si>
    <r>
      <t>MMBtu</t>
    </r>
    <r>
      <rPr>
        <vertAlign val="subscript"/>
        <sz val="11"/>
        <color theme="1"/>
        <rFont val="Corbel"/>
        <family val="2"/>
      </rPr>
      <t>ee</t>
    </r>
  </si>
  <si>
    <r>
      <rPr>
        <b/>
        <sz val="11"/>
        <rFont val="Corbel"/>
        <family val="2"/>
      </rPr>
      <t xml:space="preserve">If heating system is electric resistance or heat pump: </t>
    </r>
    <r>
      <rPr>
        <sz val="11"/>
        <rFont val="Corbel"/>
        <family val="2"/>
      </rPr>
      <t xml:space="preserve">
MMBtu</t>
    </r>
    <r>
      <rPr>
        <vertAlign val="subscript"/>
        <sz val="11"/>
        <rFont val="Corbel"/>
        <family val="2"/>
      </rPr>
      <t>ee</t>
    </r>
    <r>
      <rPr>
        <sz val="11"/>
        <rFont val="Corbel"/>
        <family val="2"/>
      </rPr>
      <t xml:space="preserve"> = kWh</t>
    </r>
    <r>
      <rPr>
        <vertAlign val="subscript"/>
        <sz val="11"/>
        <rFont val="Corbel"/>
        <family val="2"/>
      </rPr>
      <t>ee</t>
    </r>
    <r>
      <rPr>
        <sz val="11"/>
        <rFont val="Corbel"/>
        <family val="2"/>
      </rPr>
      <t xml:space="preserve"> * kWh_to_MMBtu
</t>
    </r>
    <r>
      <rPr>
        <b/>
        <sz val="11"/>
        <rFont val="Corbel"/>
        <family val="2"/>
      </rPr>
      <t>If heating system is fossil-fuel fired:</t>
    </r>
    <r>
      <rPr>
        <sz val="11"/>
        <rFont val="Corbel"/>
        <family val="2"/>
      </rPr>
      <t xml:space="preserve">
MMBtu</t>
    </r>
    <r>
      <rPr>
        <vertAlign val="subscript"/>
        <sz val="11"/>
        <rFont val="Corbel"/>
        <family val="2"/>
      </rPr>
      <t>ee</t>
    </r>
    <r>
      <rPr>
        <sz val="11"/>
        <rFont val="Corbel"/>
        <family val="2"/>
      </rPr>
      <t xml:space="preserve"> = kWh</t>
    </r>
    <r>
      <rPr>
        <vertAlign val="subscript"/>
        <sz val="11"/>
        <rFont val="Corbel"/>
        <family val="2"/>
      </rPr>
      <t>ee</t>
    </r>
    <r>
      <rPr>
        <sz val="11"/>
        <rFont val="Corbel"/>
        <family val="2"/>
      </rPr>
      <t xml:space="preserve"> + 60 * ΔCFM25 * ΔT</t>
    </r>
    <r>
      <rPr>
        <vertAlign val="subscript"/>
        <sz val="11"/>
        <rFont val="Corbel"/>
        <family val="2"/>
      </rPr>
      <t>avg,heating</t>
    </r>
    <r>
      <rPr>
        <sz val="11"/>
        <rFont val="Corbel"/>
        <family val="2"/>
      </rPr>
      <t xml:space="preserve"> * Cp</t>
    </r>
    <r>
      <rPr>
        <vertAlign val="subscript"/>
        <sz val="11"/>
        <rFont val="Corbel"/>
        <family val="2"/>
      </rPr>
      <t>air</t>
    </r>
    <r>
      <rPr>
        <sz val="11"/>
        <rFont val="Corbel"/>
        <family val="2"/>
      </rPr>
      <t xml:space="preserve"> * EFLH</t>
    </r>
    <r>
      <rPr>
        <vertAlign val="subscript"/>
        <sz val="11"/>
        <rFont val="Corbel"/>
        <family val="2"/>
      </rPr>
      <t>heating</t>
    </r>
    <r>
      <rPr>
        <sz val="11"/>
        <rFont val="Corbel"/>
        <family val="2"/>
      </rPr>
      <t xml:space="preserve"> / (1,000,000 * η</t>
    </r>
    <r>
      <rPr>
        <vertAlign val="subscript"/>
        <sz val="11"/>
        <rFont val="Corbel"/>
        <family val="2"/>
      </rPr>
      <t>heating</t>
    </r>
    <r>
      <rPr>
        <sz val="11"/>
        <rFont val="Corbel"/>
        <family val="2"/>
      </rPr>
      <t>)</t>
    </r>
  </si>
  <si>
    <r>
      <t>MMBtu</t>
    </r>
    <r>
      <rPr>
        <vertAlign val="subscript"/>
        <sz val="11"/>
        <color theme="1"/>
        <rFont val="Corbel"/>
        <family val="2"/>
      </rPr>
      <t>be</t>
    </r>
  </si>
  <si>
    <r>
      <t>MMBtu</t>
    </r>
    <r>
      <rPr>
        <vertAlign val="subscript"/>
        <sz val="11"/>
        <color theme="1"/>
        <rFont val="Corbel"/>
        <family val="2"/>
      </rPr>
      <t>be</t>
    </r>
    <r>
      <rPr>
        <sz val="11"/>
        <color theme="1"/>
        <rFont val="Corbel"/>
        <family val="2"/>
      </rPr>
      <t xml:space="preserve"> = 0</t>
    </r>
  </si>
  <si>
    <r>
      <t>MMBtu</t>
    </r>
    <r>
      <rPr>
        <vertAlign val="subscript"/>
        <sz val="11"/>
        <color theme="1"/>
        <rFont val="Corbel"/>
        <family val="2"/>
      </rPr>
      <t>total</t>
    </r>
  </si>
  <si>
    <r>
      <t>MMBtu</t>
    </r>
    <r>
      <rPr>
        <vertAlign val="subscript"/>
        <sz val="11"/>
        <color theme="1"/>
        <rFont val="Corbel"/>
        <family val="2"/>
      </rPr>
      <t>total</t>
    </r>
    <r>
      <rPr>
        <sz val="11"/>
        <color theme="1"/>
        <rFont val="Corbel"/>
        <family val="2"/>
      </rPr>
      <t xml:space="preserve"> = MMBtu</t>
    </r>
    <r>
      <rPr>
        <vertAlign val="subscript"/>
        <sz val="11"/>
        <color theme="1"/>
        <rFont val="Corbel"/>
        <family val="2"/>
      </rPr>
      <t>ee</t>
    </r>
    <r>
      <rPr>
        <sz val="11"/>
        <color theme="1"/>
        <rFont val="Corbel"/>
        <family val="2"/>
      </rPr>
      <t xml:space="preserve"> + MMBtu</t>
    </r>
    <r>
      <rPr>
        <vertAlign val="subscript"/>
        <sz val="11"/>
        <color theme="1"/>
        <rFont val="Corbel"/>
        <family val="2"/>
      </rPr>
      <t>be</t>
    </r>
  </si>
  <si>
    <t>CEP 2025 PSEG-LI TRM Gross Savings Algorithm Terms</t>
  </si>
  <si>
    <t>Term</t>
  </si>
  <si>
    <t>Units</t>
  </si>
  <si>
    <t>Reasoning</t>
  </si>
  <si>
    <r>
      <t>ΔT</t>
    </r>
    <r>
      <rPr>
        <vertAlign val="subscript"/>
        <sz val="11"/>
        <rFont val="Calibri"/>
        <family val="2"/>
      </rPr>
      <t>avg,cooling</t>
    </r>
    <r>
      <rPr>
        <sz val="11"/>
        <rFont val="Calibri"/>
        <family val="2"/>
      </rPr>
      <t>: Average temperature difference during cooling season between outside air and assumed 60°F duct supply air temperature</t>
    </r>
  </si>
  <si>
    <t xml:space="preserve">Based on 30-Year annual average cooling season outdoor temperature at MacArthur Airport of 71.6 F  </t>
  </si>
  <si>
    <r>
      <t>ΔT</t>
    </r>
    <r>
      <rPr>
        <vertAlign val="subscript"/>
        <sz val="11"/>
        <rFont val="Calibri"/>
        <family val="2"/>
      </rPr>
      <t>avg,heating</t>
    </r>
    <r>
      <rPr>
        <sz val="11"/>
        <rFont val="Calibri"/>
        <family val="2"/>
      </rPr>
      <t>: Average temperature difference during heating season between outside air and assumed 115°F duct supply air temperature</t>
    </r>
  </si>
  <si>
    <t xml:space="preserve">Based on 30-Year annual average heating season outdoor temperature at MacArthur Airport of 37.6 F  </t>
  </si>
  <si>
    <r>
      <t>Cp</t>
    </r>
    <r>
      <rPr>
        <vertAlign val="subscript"/>
        <sz val="11"/>
        <rFont val="Corbel"/>
        <family val="2"/>
      </rPr>
      <t>air</t>
    </r>
    <r>
      <rPr>
        <sz val="11"/>
        <rFont val="Corbel"/>
        <family val="2"/>
      </rPr>
      <t xml:space="preserve"> : Specific heat capacity of air</t>
    </r>
  </si>
  <si>
    <r>
      <t>Btu/ft</t>
    </r>
    <r>
      <rPr>
        <vertAlign val="superscript"/>
        <sz val="11"/>
        <rFont val="Corbel"/>
        <family val="2"/>
      </rPr>
      <t>3</t>
    </r>
    <r>
      <rPr>
        <sz val="11"/>
        <rFont val="Calibri"/>
        <family val="2"/>
      </rPr>
      <t>°</t>
    </r>
    <r>
      <rPr>
        <sz val="11"/>
        <rFont val="Corbel"/>
        <family val="2"/>
      </rPr>
      <t>F</t>
    </r>
  </si>
  <si>
    <t>Iowa TRM v6</t>
  </si>
  <si>
    <t>LM: Latent multiplier to account for latent cooling demand</t>
  </si>
  <si>
    <t>N/A</t>
  </si>
  <si>
    <r>
      <t>EFLH</t>
    </r>
    <r>
      <rPr>
        <vertAlign val="subscript"/>
        <sz val="11"/>
        <rFont val="Corbel"/>
        <family val="2"/>
      </rPr>
      <t>cooling</t>
    </r>
  </si>
  <si>
    <t>Project specific</t>
  </si>
  <si>
    <t>From NYS TRMv11 based on building type for NYC</t>
  </si>
  <si>
    <r>
      <t>EFLH</t>
    </r>
    <r>
      <rPr>
        <vertAlign val="subscript"/>
        <sz val="11"/>
        <rFont val="Corbel"/>
        <family val="2"/>
      </rPr>
      <t>heating</t>
    </r>
  </si>
  <si>
    <r>
      <t>η</t>
    </r>
    <r>
      <rPr>
        <vertAlign val="subscript"/>
        <sz val="11"/>
        <rFont val="Corbel"/>
        <family val="2"/>
      </rPr>
      <t>cooling</t>
    </r>
    <r>
      <rPr>
        <sz val="11"/>
        <rFont val="Corbel"/>
        <family val="2"/>
      </rPr>
      <t>: SEER of cooling system</t>
    </r>
  </si>
  <si>
    <t>From application</t>
  </si>
  <si>
    <t>kBtu/kWh</t>
  </si>
  <si>
    <r>
      <t>COP</t>
    </r>
    <r>
      <rPr>
        <vertAlign val="subscript"/>
        <sz val="11"/>
        <rFont val="Corbel"/>
        <family val="2"/>
      </rPr>
      <t>heating</t>
    </r>
    <r>
      <rPr>
        <sz val="11"/>
        <rFont val="Corbel"/>
        <family val="2"/>
      </rPr>
      <t>: COP of electric heating system</t>
    </r>
  </si>
  <si>
    <r>
      <t>η</t>
    </r>
    <r>
      <rPr>
        <vertAlign val="subscript"/>
        <sz val="11"/>
        <rFont val="Corbel"/>
        <family val="2"/>
      </rPr>
      <t>heating</t>
    </r>
    <r>
      <rPr>
        <sz val="11"/>
        <rFont val="Corbel"/>
        <family val="2"/>
      </rPr>
      <t>: Thermal efficiency of fossil fired heating system</t>
    </r>
  </si>
  <si>
    <r>
      <t>ΔCFM</t>
    </r>
    <r>
      <rPr>
        <vertAlign val="subscript"/>
        <sz val="11"/>
        <rFont val="Corbel"/>
        <family val="2"/>
      </rPr>
      <t>25</t>
    </r>
  </si>
  <si>
    <t>CFM 25</t>
  </si>
  <si>
    <t>NYS TRMv11</t>
  </si>
  <si>
    <t>Gross Savings Algorithms</t>
  </si>
  <si>
    <t>PSEGLI 2025 TRM Algorithm</t>
  </si>
  <si>
    <t>Customer meter</t>
  </si>
  <si>
    <t>ΔkW</t>
  </si>
  <si>
    <r>
      <t>ΔkW =  [(CFM</t>
    </r>
    <r>
      <rPr>
        <vertAlign val="subscript"/>
        <sz val="11"/>
        <color theme="1"/>
        <rFont val="Corbel"/>
        <family val="2"/>
      </rPr>
      <t>75</t>
    </r>
    <r>
      <rPr>
        <sz val="11"/>
        <color theme="1"/>
        <rFont val="Corbel"/>
        <family val="2"/>
      </rPr>
      <t>/SF)</t>
    </r>
    <r>
      <rPr>
        <vertAlign val="subscript"/>
        <sz val="11"/>
        <color theme="1"/>
        <rFont val="Corbel"/>
        <family val="2"/>
      </rPr>
      <t>pre</t>
    </r>
    <r>
      <rPr>
        <sz val="11"/>
        <color theme="1"/>
        <rFont val="Corbel"/>
        <family val="2"/>
      </rPr>
      <t xml:space="preserve"> - (CFM</t>
    </r>
    <r>
      <rPr>
        <vertAlign val="subscript"/>
        <sz val="11"/>
        <color theme="1"/>
        <rFont val="Corbel"/>
        <family val="2"/>
      </rPr>
      <t>75</t>
    </r>
    <r>
      <rPr>
        <sz val="11"/>
        <color theme="1"/>
        <rFont val="Corbel"/>
        <family val="2"/>
      </rPr>
      <t>/SF)</t>
    </r>
    <r>
      <rPr>
        <vertAlign val="subscript"/>
        <sz val="11"/>
        <color theme="1"/>
        <rFont val="Corbel"/>
        <family val="2"/>
      </rPr>
      <t>post</t>
    </r>
    <r>
      <rPr>
        <sz val="11"/>
        <color theme="1"/>
        <rFont val="Corbel"/>
        <family val="2"/>
      </rPr>
      <t>) /(F</t>
    </r>
    <r>
      <rPr>
        <vertAlign val="subscript"/>
        <sz val="11"/>
        <color theme="1"/>
        <rFont val="Corbel"/>
        <family val="2"/>
      </rPr>
      <t>n,cooling</t>
    </r>
    <r>
      <rPr>
        <sz val="11"/>
        <color theme="1"/>
        <rFont val="Corbel"/>
        <family val="2"/>
      </rPr>
      <t xml:space="preserve"> * F</t>
    </r>
    <r>
      <rPr>
        <vertAlign val="subscript"/>
        <sz val="11"/>
        <color theme="1"/>
        <rFont val="Corbel"/>
        <family val="2"/>
      </rPr>
      <t>h</t>
    </r>
    <r>
      <rPr>
        <sz val="11"/>
        <color theme="1"/>
        <rFont val="Corbel"/>
        <family val="2"/>
      </rPr>
      <t>)]* SF * LM * 1.08 /(EER * 1,000)</t>
    </r>
  </si>
  <si>
    <r>
      <t>ΔkWh</t>
    </r>
    <r>
      <rPr>
        <vertAlign val="subscript"/>
        <sz val="11"/>
        <color theme="1"/>
        <rFont val="Corbel"/>
        <family val="2"/>
      </rPr>
      <t xml:space="preserve"> </t>
    </r>
    <r>
      <rPr>
        <sz val="11"/>
        <color theme="1"/>
        <rFont val="Corbel"/>
        <family val="2"/>
      </rPr>
      <t>=ΔkWh</t>
    </r>
    <r>
      <rPr>
        <vertAlign val="subscript"/>
        <sz val="11"/>
        <color theme="1"/>
        <rFont val="Corbel"/>
        <family val="2"/>
      </rPr>
      <t>cooling</t>
    </r>
    <r>
      <rPr>
        <sz val="11"/>
        <color theme="1"/>
        <rFont val="Corbel"/>
        <family val="2"/>
      </rPr>
      <t xml:space="preserve"> + ΔWh</t>
    </r>
    <r>
      <rPr>
        <vertAlign val="subscript"/>
        <sz val="11"/>
        <color theme="1"/>
        <rFont val="Corbel"/>
        <family val="2"/>
      </rPr>
      <t>heating</t>
    </r>
    <r>
      <rPr>
        <sz val="11"/>
        <color theme="1"/>
        <rFont val="Corbel"/>
        <family val="2"/>
      </rPr>
      <t xml:space="preserve">
ΔkWh</t>
    </r>
    <r>
      <rPr>
        <vertAlign val="subscript"/>
        <sz val="11"/>
        <color theme="1"/>
        <rFont val="Corbel"/>
        <family val="2"/>
      </rPr>
      <t>cooling</t>
    </r>
    <r>
      <rPr>
        <sz val="11"/>
        <color theme="1"/>
        <rFont val="Corbel"/>
        <family val="2"/>
      </rPr>
      <t xml:space="preserve"> = [(CFM</t>
    </r>
    <r>
      <rPr>
        <vertAlign val="subscript"/>
        <sz val="11"/>
        <color theme="1"/>
        <rFont val="Corbel"/>
        <family val="2"/>
      </rPr>
      <t>75</t>
    </r>
    <r>
      <rPr>
        <sz val="11"/>
        <color theme="1"/>
        <rFont val="Corbel"/>
        <family val="2"/>
      </rPr>
      <t>/SF)</t>
    </r>
    <r>
      <rPr>
        <vertAlign val="subscript"/>
        <sz val="11"/>
        <color theme="1"/>
        <rFont val="Corbel"/>
        <family val="2"/>
      </rPr>
      <t>pre</t>
    </r>
    <r>
      <rPr>
        <sz val="11"/>
        <color theme="1"/>
        <rFont val="Corbel"/>
        <family val="2"/>
      </rPr>
      <t xml:space="preserve"> - (CFM</t>
    </r>
    <r>
      <rPr>
        <vertAlign val="subscript"/>
        <sz val="11"/>
        <color theme="1"/>
        <rFont val="Corbel"/>
        <family val="2"/>
      </rPr>
      <t>75</t>
    </r>
    <r>
      <rPr>
        <sz val="11"/>
        <color theme="1"/>
        <rFont val="Corbel"/>
        <family val="2"/>
      </rPr>
      <t>/SF)</t>
    </r>
    <r>
      <rPr>
        <vertAlign val="subscript"/>
        <sz val="11"/>
        <color theme="1"/>
        <rFont val="Corbel"/>
        <family val="2"/>
      </rPr>
      <t>post</t>
    </r>
    <r>
      <rPr>
        <sz val="11"/>
        <color theme="1"/>
        <rFont val="Corbel"/>
        <family val="2"/>
      </rPr>
      <t>) /(F</t>
    </r>
    <r>
      <rPr>
        <vertAlign val="subscript"/>
        <sz val="11"/>
        <color theme="1"/>
        <rFont val="Corbel"/>
        <family val="2"/>
      </rPr>
      <t>n,cooling</t>
    </r>
    <r>
      <rPr>
        <sz val="11"/>
        <color theme="1"/>
        <rFont val="Corbel"/>
        <family val="2"/>
      </rPr>
      <t xml:space="preserve"> * F</t>
    </r>
    <r>
      <rPr>
        <vertAlign val="subscript"/>
        <sz val="11"/>
        <color theme="1"/>
        <rFont val="Corbel"/>
        <family val="2"/>
      </rPr>
      <t>h</t>
    </r>
    <r>
      <rPr>
        <sz val="11"/>
        <color theme="1"/>
        <rFont val="Corbel"/>
        <family val="2"/>
      </rPr>
      <t>)]* SF * LM * 1.08 * CDD * 24 /(SEER * 1,000)
ΔkWh</t>
    </r>
    <r>
      <rPr>
        <vertAlign val="subscript"/>
        <sz val="11"/>
        <color theme="1"/>
        <rFont val="Corbel"/>
        <family val="2"/>
      </rPr>
      <t>heating</t>
    </r>
    <r>
      <rPr>
        <sz val="11"/>
        <color theme="1"/>
        <rFont val="Corbel"/>
        <family val="2"/>
      </rPr>
      <t xml:space="preserve"> = [(CFM</t>
    </r>
    <r>
      <rPr>
        <vertAlign val="subscript"/>
        <sz val="11"/>
        <color theme="1"/>
        <rFont val="Corbel"/>
        <family val="2"/>
      </rPr>
      <t>75</t>
    </r>
    <r>
      <rPr>
        <sz val="11"/>
        <color theme="1"/>
        <rFont val="Corbel"/>
        <family val="2"/>
      </rPr>
      <t>/SF)</t>
    </r>
    <r>
      <rPr>
        <vertAlign val="subscript"/>
        <sz val="11"/>
        <color theme="1"/>
        <rFont val="Corbel"/>
        <family val="2"/>
      </rPr>
      <t>pre</t>
    </r>
    <r>
      <rPr>
        <sz val="11"/>
        <color theme="1"/>
        <rFont val="Corbel"/>
        <family val="2"/>
      </rPr>
      <t xml:space="preserve"> - (CFM</t>
    </r>
    <r>
      <rPr>
        <vertAlign val="subscript"/>
        <sz val="11"/>
        <color theme="1"/>
        <rFont val="Corbel"/>
        <family val="2"/>
      </rPr>
      <t>75</t>
    </r>
    <r>
      <rPr>
        <sz val="11"/>
        <color theme="1"/>
        <rFont val="Corbel"/>
        <family val="2"/>
      </rPr>
      <t>/SF)</t>
    </r>
    <r>
      <rPr>
        <vertAlign val="subscript"/>
        <sz val="11"/>
        <color theme="1"/>
        <rFont val="Corbel"/>
        <family val="2"/>
      </rPr>
      <t>post</t>
    </r>
    <r>
      <rPr>
        <sz val="11"/>
        <color theme="1"/>
        <rFont val="Corbel"/>
        <family val="2"/>
      </rPr>
      <t>) /(F</t>
    </r>
    <r>
      <rPr>
        <vertAlign val="subscript"/>
        <sz val="11"/>
        <color theme="1"/>
        <rFont val="Corbel"/>
        <family val="2"/>
      </rPr>
      <t>n,heating</t>
    </r>
    <r>
      <rPr>
        <sz val="11"/>
        <color theme="1"/>
        <rFont val="Corbel"/>
        <family val="2"/>
      </rPr>
      <t xml:space="preserve"> * F</t>
    </r>
    <r>
      <rPr>
        <vertAlign val="subscript"/>
        <sz val="11"/>
        <color theme="1"/>
        <rFont val="Corbel"/>
        <family val="2"/>
      </rPr>
      <t>h</t>
    </r>
    <r>
      <rPr>
        <sz val="11"/>
        <color theme="1"/>
        <rFont val="Corbel"/>
        <family val="2"/>
      </rPr>
      <t>)]* SF * 1.08 * HDD * 24 * F</t>
    </r>
    <r>
      <rPr>
        <vertAlign val="subscript"/>
        <sz val="11"/>
        <color theme="1"/>
        <rFont val="Corbel"/>
        <family val="2"/>
      </rPr>
      <t>ElecHeat</t>
    </r>
    <r>
      <rPr>
        <sz val="11"/>
        <color theme="1"/>
        <rFont val="Corbel"/>
        <family val="2"/>
      </rPr>
      <t xml:space="preserve"> /(HSPF * 1,000)</t>
    </r>
  </si>
  <si>
    <r>
      <t>MMBtuee = [(CFM</t>
    </r>
    <r>
      <rPr>
        <vertAlign val="subscript"/>
        <sz val="11"/>
        <color theme="1"/>
        <rFont val="Corbel"/>
        <family val="2"/>
      </rPr>
      <t>75</t>
    </r>
    <r>
      <rPr>
        <sz val="11"/>
        <color theme="1"/>
        <rFont val="Corbel"/>
        <family val="2"/>
      </rPr>
      <t>/SF)</t>
    </r>
    <r>
      <rPr>
        <vertAlign val="subscript"/>
        <sz val="11"/>
        <color theme="1"/>
        <rFont val="Corbel"/>
        <family val="2"/>
      </rPr>
      <t>pre</t>
    </r>
    <r>
      <rPr>
        <sz val="11"/>
        <color theme="1"/>
        <rFont val="Corbel"/>
        <family val="2"/>
      </rPr>
      <t xml:space="preserve"> - (CFM</t>
    </r>
    <r>
      <rPr>
        <vertAlign val="subscript"/>
        <sz val="11"/>
        <color theme="1"/>
        <rFont val="Corbel"/>
        <family val="2"/>
      </rPr>
      <t>75</t>
    </r>
    <r>
      <rPr>
        <sz val="11"/>
        <color theme="1"/>
        <rFont val="Corbel"/>
        <family val="2"/>
      </rPr>
      <t>/SF)</t>
    </r>
    <r>
      <rPr>
        <vertAlign val="subscript"/>
        <sz val="11"/>
        <color theme="1"/>
        <rFont val="Corbel"/>
        <family val="2"/>
      </rPr>
      <t>post</t>
    </r>
    <r>
      <rPr>
        <sz val="11"/>
        <color theme="1"/>
        <rFont val="Corbel"/>
        <family val="2"/>
      </rPr>
      <t>) /(F</t>
    </r>
    <r>
      <rPr>
        <vertAlign val="subscript"/>
        <sz val="11"/>
        <color theme="1"/>
        <rFont val="Corbel"/>
        <family val="2"/>
      </rPr>
      <t xml:space="preserve">n,heating </t>
    </r>
    <r>
      <rPr>
        <sz val="11"/>
        <color theme="1"/>
        <rFont val="Corbel"/>
        <family val="2"/>
      </rPr>
      <t>* F</t>
    </r>
    <r>
      <rPr>
        <vertAlign val="subscript"/>
        <sz val="11"/>
        <color theme="1"/>
        <rFont val="Corbel"/>
        <family val="2"/>
      </rPr>
      <t>h</t>
    </r>
    <r>
      <rPr>
        <sz val="11"/>
        <color theme="1"/>
        <rFont val="Corbel"/>
        <family val="2"/>
      </rPr>
      <t>)]* SF * 1.08 * HDD * 24 * F</t>
    </r>
    <r>
      <rPr>
        <vertAlign val="subscript"/>
        <sz val="11"/>
        <color theme="1"/>
        <rFont val="Corbel"/>
        <family val="2"/>
      </rPr>
      <t xml:space="preserve">FuelHeat </t>
    </r>
    <r>
      <rPr>
        <sz val="11"/>
        <color theme="1"/>
        <rFont val="Corbel"/>
        <family val="2"/>
      </rPr>
      <t>/(Eff</t>
    </r>
    <r>
      <rPr>
        <vertAlign val="subscript"/>
        <sz val="11"/>
        <color theme="1"/>
        <rFont val="Corbel"/>
        <family val="2"/>
      </rPr>
      <t>FuelHeat</t>
    </r>
    <r>
      <rPr>
        <sz val="11"/>
        <color theme="1"/>
        <rFont val="Corbel"/>
        <family val="2"/>
      </rPr>
      <t xml:space="preserve"> * 1,000,000)  + kWh</t>
    </r>
    <r>
      <rPr>
        <vertAlign val="subscript"/>
        <sz val="11"/>
        <color theme="1"/>
        <rFont val="Corbel"/>
        <family val="2"/>
      </rPr>
      <t>ee</t>
    </r>
    <r>
      <rPr>
        <sz val="11"/>
        <color theme="1"/>
        <rFont val="Corbel"/>
        <family val="2"/>
      </rPr>
      <t xml:space="preserve"> * kWh_to_MMBtu</t>
    </r>
  </si>
  <si>
    <t>SEER: Cooling System SEER</t>
  </si>
  <si>
    <t>Btu/ W hr</t>
  </si>
  <si>
    <t>EER: Cooling System EER</t>
  </si>
  <si>
    <t>HSPF: Electric Heating System Efficiency</t>
  </si>
  <si>
    <t>Efffuelheat: Fossil-fuel Heating System Efficiency</t>
  </si>
  <si>
    <t>(CFM75/SF)pre : Pre-install Infiltration rate at a negative pressure differential of 75 Pa or 0.3 inches of water</t>
  </si>
  <si>
    <t xml:space="preserve">From application, results from blower door test. If pre-implementation blower door test results are unavailable, use 0.40 CFM75/SF as default. </t>
  </si>
  <si>
    <r>
      <t>cfm/ft</t>
    </r>
    <r>
      <rPr>
        <vertAlign val="superscript"/>
        <sz val="11"/>
        <color theme="1"/>
        <rFont val="Corbel"/>
        <family val="2"/>
      </rPr>
      <t>2</t>
    </r>
  </si>
  <si>
    <t>(CFM75/SF)post : Post-install Infiltration rate at a negative pressure differential of 75 Pa or 0.3 inches of water</t>
  </si>
  <si>
    <t>From application, results from blower door test. If post -implementation blower door test results are unavailable, use 0.25 CFM75/SF as default.</t>
  </si>
  <si>
    <t>SF: Square footage of above- and below-grade building envelope</t>
  </si>
  <si>
    <r>
      <t>ft</t>
    </r>
    <r>
      <rPr>
        <vertAlign val="superscript"/>
        <sz val="11"/>
        <color theme="1"/>
        <rFont val="Corbel"/>
        <family val="2"/>
      </rPr>
      <t>2</t>
    </r>
  </si>
  <si>
    <t>Fn,cooling: Infiltration-Leakage Ratio for cooling season</t>
  </si>
  <si>
    <t xml:space="preserve">Look up in Infiltration-Leakage Ratio, Climate Zone table below based on location and building shielding class, as defined below.  </t>
  </si>
  <si>
    <t>Fn,heating: Infiltration-Leakage Ratio for heating season</t>
  </si>
  <si>
    <t>Fh: Infiltration-Leakage Ratio building height factor</t>
  </si>
  <si>
    <t>Based on the number of conditioned stories in the building, from application.  The selected value should reflect the number of stories located inside the conditioned envelope of the building. Unconditioned basements and attics should not be included. Upper levels without full height perimeter walls shall be considered as half-stories (0.5).</t>
  </si>
  <si>
    <t>LM: Latent Cooling Factor</t>
  </si>
  <si>
    <t>HDD; Heating Degree Days</t>
  </si>
  <si>
    <t>Degree-Days</t>
  </si>
  <si>
    <t>HDD65 MacArthur Airport 1991-2020</t>
  </si>
  <si>
    <t>CDD; Cooling Degree Days</t>
  </si>
  <si>
    <t>CDD65 MacArthur Airport 1991-2020</t>
  </si>
  <si>
    <t xml:space="preserve">FfuelHeat: Check for the presence of fossil fuel fired heating </t>
  </si>
  <si>
    <t>1 (if building is fuel heated)
0 (otherwise)</t>
  </si>
  <si>
    <t xml:space="preserve">FelecHeat: Check for the presence of electric heating </t>
  </si>
  <si>
    <t>1 (if building is electrically heated)
0 (otherwise)</t>
  </si>
  <si>
    <t>CF; Coincidence Factor</t>
  </si>
  <si>
    <t>CF</t>
  </si>
  <si>
    <r>
      <t>ΔkW = [(1/R</t>
    </r>
    <r>
      <rPr>
        <vertAlign val="subscript"/>
        <sz val="11"/>
        <color theme="1"/>
        <rFont val="Corbel"/>
        <family val="2"/>
      </rPr>
      <t>baseline</t>
    </r>
    <r>
      <rPr>
        <sz val="11"/>
        <color theme="1"/>
        <rFont val="Corbel"/>
        <family val="2"/>
      </rPr>
      <t xml:space="preserve"> - 1/(R</t>
    </r>
    <r>
      <rPr>
        <vertAlign val="subscript"/>
        <sz val="11"/>
        <color theme="1"/>
        <rFont val="Corbel"/>
        <family val="2"/>
      </rPr>
      <t>baseline</t>
    </r>
    <r>
      <rPr>
        <sz val="11"/>
        <color theme="1"/>
        <rFont val="Corbel"/>
        <family val="2"/>
      </rPr>
      <t xml:space="preserve"> + ΔR)) * A * (1 - F</t>
    </r>
    <r>
      <rPr>
        <vertAlign val="subscript"/>
        <sz val="11"/>
        <color theme="1"/>
        <rFont val="Corbel"/>
        <family val="2"/>
      </rPr>
      <t>framing</t>
    </r>
    <r>
      <rPr>
        <sz val="11"/>
        <color theme="1"/>
        <rFont val="Corbel"/>
        <family val="2"/>
      </rPr>
      <t>) *F</t>
    </r>
    <r>
      <rPr>
        <vertAlign val="subscript"/>
        <sz val="11"/>
        <color theme="1"/>
        <rFont val="Corbel"/>
        <family val="2"/>
      </rPr>
      <t>ElecCool</t>
    </r>
    <r>
      <rPr>
        <sz val="11"/>
        <color theme="1"/>
        <rFont val="Corbel"/>
        <family val="2"/>
      </rPr>
      <t xml:space="preserve"> / (1,000 * EER)]</t>
    </r>
  </si>
  <si>
    <r>
      <t>ΔkWh = ΔkWh</t>
    </r>
    <r>
      <rPr>
        <vertAlign val="subscript"/>
        <sz val="11"/>
        <color theme="1"/>
        <rFont val="Corbel"/>
        <family val="2"/>
      </rPr>
      <t>cooling + Δ</t>
    </r>
    <r>
      <rPr>
        <sz val="11"/>
        <color theme="1"/>
        <rFont val="Corbel"/>
        <family val="2"/>
      </rPr>
      <t>kWh</t>
    </r>
    <r>
      <rPr>
        <vertAlign val="subscript"/>
        <sz val="11"/>
        <color theme="1"/>
        <rFont val="Corbel"/>
        <family val="2"/>
      </rPr>
      <t>heating</t>
    </r>
    <r>
      <rPr>
        <sz val="11"/>
        <color theme="1"/>
        <rFont val="Corbel"/>
        <family val="2"/>
      </rPr>
      <t xml:space="preserve">
where,
ΔkWh</t>
    </r>
    <r>
      <rPr>
        <vertAlign val="subscript"/>
        <sz val="11"/>
        <color theme="1"/>
        <rFont val="Corbel"/>
        <family val="2"/>
      </rPr>
      <t>cooling</t>
    </r>
    <r>
      <rPr>
        <sz val="11"/>
        <color theme="1"/>
        <rFont val="Corbel"/>
        <family val="2"/>
      </rPr>
      <t xml:space="preserve"> = (1/R</t>
    </r>
    <r>
      <rPr>
        <vertAlign val="subscript"/>
        <sz val="11"/>
        <color theme="1"/>
        <rFont val="Corbel"/>
        <family val="2"/>
      </rPr>
      <t>baseline</t>
    </r>
    <r>
      <rPr>
        <sz val="11"/>
        <color theme="1"/>
        <rFont val="Corbel"/>
        <family val="2"/>
      </rPr>
      <t xml:space="preserve"> - 1/(R</t>
    </r>
    <r>
      <rPr>
        <vertAlign val="subscript"/>
        <sz val="11"/>
        <color theme="1"/>
        <rFont val="Corbel"/>
        <family val="2"/>
      </rPr>
      <t>baseline</t>
    </r>
    <r>
      <rPr>
        <sz val="11"/>
        <color theme="1"/>
        <rFont val="Corbel"/>
        <family val="2"/>
      </rPr>
      <t xml:space="preserve"> + ΔR)) * A * (1 - F</t>
    </r>
    <r>
      <rPr>
        <vertAlign val="subscript"/>
        <sz val="11"/>
        <color theme="1"/>
        <rFont val="Corbel"/>
        <family val="2"/>
      </rPr>
      <t>framing</t>
    </r>
    <r>
      <rPr>
        <sz val="11"/>
        <color theme="1"/>
        <rFont val="Corbel"/>
        <family val="2"/>
      </rPr>
      <t>) * CDD * 24 *F</t>
    </r>
    <r>
      <rPr>
        <vertAlign val="subscript"/>
        <sz val="11"/>
        <color theme="1"/>
        <rFont val="Corbel"/>
        <family val="2"/>
      </rPr>
      <t>ElecCool</t>
    </r>
    <r>
      <rPr>
        <sz val="11"/>
        <color theme="1"/>
        <rFont val="Corbel"/>
        <family val="2"/>
      </rPr>
      <t xml:space="preserve"> / (1,000 * SEER)
ΔkWh</t>
    </r>
    <r>
      <rPr>
        <vertAlign val="subscript"/>
        <sz val="11"/>
        <color theme="1"/>
        <rFont val="Corbel"/>
        <family val="2"/>
      </rPr>
      <t>heating</t>
    </r>
    <r>
      <rPr>
        <sz val="11"/>
        <color theme="1"/>
        <rFont val="Corbel"/>
        <family val="2"/>
      </rPr>
      <t xml:space="preserve"> = (1/R</t>
    </r>
    <r>
      <rPr>
        <vertAlign val="subscript"/>
        <sz val="11"/>
        <color theme="1"/>
        <rFont val="Corbel"/>
        <family val="2"/>
      </rPr>
      <t>baseline</t>
    </r>
    <r>
      <rPr>
        <sz val="11"/>
        <color theme="1"/>
        <rFont val="Corbel"/>
        <family val="2"/>
      </rPr>
      <t xml:space="preserve"> - 1/(R</t>
    </r>
    <r>
      <rPr>
        <vertAlign val="subscript"/>
        <sz val="11"/>
        <color theme="1"/>
        <rFont val="Corbel"/>
        <family val="2"/>
      </rPr>
      <t>baseline</t>
    </r>
    <r>
      <rPr>
        <sz val="11"/>
        <color theme="1"/>
        <rFont val="Corbel"/>
        <family val="2"/>
      </rPr>
      <t xml:space="preserve"> + ΔR)) * A * (1 - F</t>
    </r>
    <r>
      <rPr>
        <vertAlign val="subscript"/>
        <sz val="11"/>
        <color theme="1"/>
        <rFont val="Corbel"/>
        <family val="2"/>
      </rPr>
      <t>framing</t>
    </r>
    <r>
      <rPr>
        <sz val="11"/>
        <color theme="1"/>
        <rFont val="Corbel"/>
        <family val="2"/>
      </rPr>
      <t>) * HDD * 24 *F</t>
    </r>
    <r>
      <rPr>
        <vertAlign val="subscript"/>
        <sz val="11"/>
        <color theme="1"/>
        <rFont val="Corbel"/>
        <family val="2"/>
      </rPr>
      <t>ElecHeat</t>
    </r>
    <r>
      <rPr>
        <sz val="11"/>
        <color theme="1"/>
        <rFont val="Corbel"/>
        <family val="2"/>
      </rPr>
      <t xml:space="preserve"> / (1,000 * HSPF)</t>
    </r>
  </si>
  <si>
    <r>
      <t>MMBtu</t>
    </r>
    <r>
      <rPr>
        <vertAlign val="subscript"/>
        <sz val="11"/>
        <color theme="1"/>
        <rFont val="Corbel"/>
        <family val="2"/>
      </rPr>
      <t>ee</t>
    </r>
    <r>
      <rPr>
        <sz val="11"/>
        <color theme="1"/>
        <rFont val="Corbel"/>
        <family val="2"/>
      </rPr>
      <t xml:space="preserve"> = (1/R</t>
    </r>
    <r>
      <rPr>
        <vertAlign val="subscript"/>
        <sz val="11"/>
        <color theme="1"/>
        <rFont val="Corbel"/>
        <family val="2"/>
      </rPr>
      <t>baseline</t>
    </r>
    <r>
      <rPr>
        <sz val="11"/>
        <color theme="1"/>
        <rFont val="Corbel"/>
        <family val="2"/>
      </rPr>
      <t xml:space="preserve"> - 1/(R</t>
    </r>
    <r>
      <rPr>
        <vertAlign val="subscript"/>
        <sz val="11"/>
        <color theme="1"/>
        <rFont val="Corbel"/>
        <family val="2"/>
      </rPr>
      <t>baseline</t>
    </r>
    <r>
      <rPr>
        <sz val="11"/>
        <color theme="1"/>
        <rFont val="Corbel"/>
        <family val="2"/>
      </rPr>
      <t xml:space="preserve"> + ΔR)) * A * (1 - F</t>
    </r>
    <r>
      <rPr>
        <vertAlign val="subscript"/>
        <sz val="11"/>
        <color theme="1"/>
        <rFont val="Corbel"/>
        <family val="2"/>
      </rPr>
      <t>framing</t>
    </r>
    <r>
      <rPr>
        <sz val="11"/>
        <color theme="1"/>
        <rFont val="Corbel"/>
        <family val="2"/>
      </rPr>
      <t>) * HDD * 24 *F</t>
    </r>
    <r>
      <rPr>
        <vertAlign val="subscript"/>
        <sz val="11"/>
        <color theme="1"/>
        <rFont val="Corbel"/>
        <family val="2"/>
      </rPr>
      <t>FuelHeat</t>
    </r>
    <r>
      <rPr>
        <sz val="11"/>
        <color theme="1"/>
        <rFont val="Corbel"/>
        <family val="2"/>
      </rPr>
      <t xml:space="preserve"> / (1,000,000 * Eff</t>
    </r>
    <r>
      <rPr>
        <vertAlign val="subscript"/>
        <sz val="11"/>
        <color theme="1"/>
        <rFont val="Corbel"/>
        <family val="2"/>
      </rPr>
      <t>FuelHe</t>
    </r>
    <r>
      <rPr>
        <vertAlign val="subscript"/>
        <sz val="11"/>
        <color rgb="FF080808"/>
        <rFont val="Corbel"/>
        <family val="2"/>
      </rPr>
      <t>at</t>
    </r>
    <r>
      <rPr>
        <sz val="11"/>
        <color rgb="FF080808"/>
        <rFont val="Corbel"/>
        <family val="2"/>
      </rPr>
      <t>)</t>
    </r>
    <r>
      <rPr>
        <vertAlign val="subscript"/>
        <sz val="11"/>
        <color rgb="FF080808"/>
        <rFont val="Corbel"/>
        <family val="2"/>
      </rPr>
      <t xml:space="preserve"> </t>
    </r>
    <r>
      <rPr>
        <sz val="11"/>
        <color rgb="FF080808"/>
        <rFont val="Corbel"/>
        <family val="2"/>
      </rPr>
      <t>+ kWh</t>
    </r>
    <r>
      <rPr>
        <vertAlign val="subscript"/>
        <sz val="11"/>
        <color rgb="FF080808"/>
        <rFont val="Corbel"/>
        <family val="2"/>
      </rPr>
      <t>ee</t>
    </r>
    <r>
      <rPr>
        <sz val="11"/>
        <color rgb="FF080808"/>
        <rFont val="Corbel"/>
        <family val="2"/>
      </rPr>
      <t xml:space="preserve"> * 0.003412</t>
    </r>
  </si>
  <si>
    <r>
      <t>R</t>
    </r>
    <r>
      <rPr>
        <vertAlign val="subscript"/>
        <sz val="11"/>
        <color theme="1"/>
        <rFont val="Corbel"/>
        <family val="2"/>
      </rPr>
      <t>baseline</t>
    </r>
    <r>
      <rPr>
        <sz val="11"/>
        <color theme="1"/>
        <rFont val="Corbel"/>
        <family val="2"/>
      </rPr>
      <t>: R-value of existing insulation</t>
    </r>
  </si>
  <si>
    <t>See table below</t>
  </si>
  <si>
    <t>From application. If unknown, lookup in Baseline 
Efficiency section below, based on building vintage 
and building envelope component.</t>
  </si>
  <si>
    <t>NY TRM v11</t>
  </si>
  <si>
    <t>ΔR: difference in R-value between installed insulation and existing insulation</t>
  </si>
  <si>
    <t>ft2-Fº-h/BTU</t>
  </si>
  <si>
    <r>
      <t xml:space="preserve">A: </t>
    </r>
    <r>
      <rPr>
        <sz val="11"/>
        <color theme="1"/>
        <rFont val="Corbel"/>
        <family val="2"/>
      </rPr>
      <t>Area of insulated surfaces</t>
    </r>
  </si>
  <si>
    <t>ft2</t>
  </si>
  <si>
    <r>
      <t>F</t>
    </r>
    <r>
      <rPr>
        <vertAlign val="subscript"/>
        <sz val="11"/>
        <color theme="1"/>
        <rFont val="Corbel"/>
        <family val="2"/>
      </rPr>
      <t>framing</t>
    </r>
    <r>
      <rPr>
        <sz val="11"/>
        <color theme="1"/>
        <rFont val="Corbel"/>
        <family val="2"/>
      </rPr>
      <t>: framing factor</t>
    </r>
  </si>
  <si>
    <t>0.25 (walls)
0.07 (celing)</t>
  </si>
  <si>
    <t>CDD: cooling degree days</t>
  </si>
  <si>
    <t>HDD: heating degree days</t>
  </si>
  <si>
    <r>
      <t>F</t>
    </r>
    <r>
      <rPr>
        <vertAlign val="subscript"/>
        <sz val="11"/>
        <color theme="1"/>
        <rFont val="Corbel"/>
        <family val="2"/>
      </rPr>
      <t>ElecCool</t>
    </r>
    <r>
      <rPr>
        <sz val="11"/>
        <color theme="1"/>
        <rFont val="Corbel"/>
        <family val="2"/>
      </rPr>
      <t>: electric cooling factor</t>
    </r>
  </si>
  <si>
    <t>If electric cooling: 1.0
If no electric cooling: 0.0</t>
  </si>
  <si>
    <r>
      <t>F</t>
    </r>
    <r>
      <rPr>
        <vertAlign val="subscript"/>
        <sz val="11"/>
        <color theme="1"/>
        <rFont val="Corbel"/>
        <family val="2"/>
      </rPr>
      <t>ElecHeat</t>
    </r>
    <r>
      <rPr>
        <sz val="11"/>
        <color theme="1"/>
        <rFont val="Corbel"/>
        <family val="2"/>
      </rPr>
      <t>: electric heating factor</t>
    </r>
  </si>
  <si>
    <t>If electric heat: 1.0
If no electric heat: 0.0</t>
  </si>
  <si>
    <t>SEER: seasonal average energy efficiency ratio</t>
  </si>
  <si>
    <t>Btu/W-hr</t>
  </si>
  <si>
    <t>HSPF: heating seasonal performance factor</t>
  </si>
  <si>
    <t>EER: energy efficiency ratio</t>
  </si>
  <si>
    <t>CF: coincidence factor</t>
  </si>
  <si>
    <r>
      <t>F</t>
    </r>
    <r>
      <rPr>
        <vertAlign val="subscript"/>
        <sz val="11"/>
        <color theme="1"/>
        <rFont val="Corbel"/>
        <family val="2"/>
      </rPr>
      <t>FuelHeat</t>
    </r>
    <r>
      <rPr>
        <sz val="11"/>
        <color theme="1"/>
        <rFont val="Corbel"/>
        <family val="2"/>
      </rPr>
      <t>: fossil fuel heating factor</t>
    </r>
  </si>
  <si>
    <t>If fuel heat: 1.0
If no fuel heat: 0.0</t>
  </si>
  <si>
    <r>
      <t>Eff</t>
    </r>
    <r>
      <rPr>
        <vertAlign val="subscript"/>
        <sz val="11"/>
        <color theme="1"/>
        <rFont val="Corbel"/>
        <family val="2"/>
      </rPr>
      <t>FuelHeat</t>
    </r>
    <r>
      <rPr>
        <sz val="11"/>
        <color theme="1"/>
        <rFont val="Corbel"/>
        <family val="2"/>
      </rPr>
      <t>: efficiency of fuel heating equipment</t>
    </r>
  </si>
  <si>
    <t>AFUE, Et, or Ec</t>
  </si>
  <si>
    <r>
      <t>Default R</t>
    </r>
    <r>
      <rPr>
        <b/>
        <vertAlign val="subscript"/>
        <sz val="11"/>
        <color theme="0"/>
        <rFont val="Corbel"/>
        <family val="2"/>
      </rPr>
      <t>Baseline</t>
    </r>
    <r>
      <rPr>
        <b/>
        <sz val="11"/>
        <color theme="0"/>
        <rFont val="Corbel"/>
        <family val="2"/>
      </rPr>
      <t xml:space="preserve"> values by building type from Appendix A of NYS TRM v10</t>
    </r>
  </si>
  <si>
    <t>Wall Construction</t>
  </si>
  <si>
    <t>Wall R Value</t>
  </si>
  <si>
    <t>Roof Construction</t>
  </si>
  <si>
    <t>Roof R value</t>
  </si>
  <si>
    <t>Concrete block</t>
  </si>
  <si>
    <t>Wood frame w/built up roof</t>
  </si>
  <si>
    <t>Big Box</t>
  </si>
  <si>
    <r>
      <t xml:space="preserve">Concrete block </t>
    </r>
    <r>
      <rPr>
        <sz val="10"/>
        <color theme="1"/>
        <rFont val="Arial"/>
        <family val="2"/>
      </rPr>
      <t>w/insulation</t>
    </r>
  </si>
  <si>
    <t>Metal frame w/built up roof</t>
  </si>
  <si>
    <r>
      <t>CMU w/brick veneer</t>
    </r>
    <r>
      <rPr>
        <sz val="10"/>
        <color theme="1"/>
        <rFont val="Arial"/>
        <family val="2"/>
      </rPr>
      <t>, plus</t>
    </r>
  </si>
  <si>
    <t>CMU</t>
  </si>
  <si>
    <r>
      <rPr>
        <sz val="10"/>
        <color theme="1"/>
        <rFont val="Arial"/>
        <family val="2"/>
      </rPr>
      <t>Wood frame</t>
    </r>
    <r>
      <rPr>
        <sz val="11"/>
        <color theme="1"/>
        <rFont val="Calibri"/>
        <family val="2"/>
        <scheme val="minor"/>
      </rPr>
      <t xml:space="preserve"> w/brick veneer</t>
    </r>
  </si>
  <si>
    <t>Concrete block w/brick veneer</t>
  </si>
  <si>
    <t>Concrete deck w/built up roof</t>
  </si>
  <si>
    <t>Concrete block w/insulation</t>
  </si>
  <si>
    <t>Brick and CMU</t>
  </si>
  <si>
    <t>Built up roof</t>
  </si>
  <si>
    <t>Block</t>
  </si>
  <si>
    <t>Wood deck w/built up roof</t>
  </si>
  <si>
    <t>Large  Office</t>
  </si>
  <si>
    <t>Glass curtain wall</t>
  </si>
  <si>
    <t>Light industrial</t>
  </si>
  <si>
    <t>Frame</t>
  </si>
  <si>
    <t>Refrigerated Warehouse</t>
  </si>
  <si>
    <t>Insulated metal panel</t>
  </si>
  <si>
    <r>
      <t xml:space="preserve">Cooler </t>
    </r>
    <r>
      <rPr>
        <sz val="10"/>
        <color theme="1"/>
        <rFont val="Arial"/>
        <family val="2"/>
      </rPr>
      <t>and loading dock</t>
    </r>
    <r>
      <rPr>
        <sz val="11"/>
        <color theme="1"/>
        <rFont val="Calibri"/>
        <family val="2"/>
        <scheme val="minor"/>
      </rPr>
      <t xml:space="preserve"> 20; Freezer 26</t>
    </r>
  </si>
  <si>
    <t>Brick</t>
  </si>
  <si>
    <t>Wood frame w/brick veneer</t>
  </si>
  <si>
    <t>Insulated frame wall</t>
  </si>
  <si>
    <r>
      <t>ΔkW = ΔkWh</t>
    </r>
    <r>
      <rPr>
        <vertAlign val="subscript"/>
        <sz val="12"/>
        <color theme="1"/>
        <rFont val="Franklin Gothic Book"/>
        <family val="2"/>
      </rPr>
      <t>cooling</t>
    </r>
    <r>
      <rPr>
        <sz val="10"/>
        <color theme="1"/>
        <rFont val="Calibri"/>
        <family val="2"/>
        <scheme val="minor"/>
      </rPr>
      <t>/(days</t>
    </r>
    <r>
      <rPr>
        <vertAlign val="subscript"/>
        <sz val="10"/>
        <color theme="1"/>
        <rFont val="Calibri"/>
        <family val="2"/>
        <scheme val="minor"/>
      </rPr>
      <t>cooling</t>
    </r>
    <r>
      <rPr>
        <sz val="10"/>
        <color theme="1"/>
        <rFont val="Calibri"/>
        <family val="2"/>
        <scheme val="minor"/>
      </rPr>
      <t xml:space="preserve"> * 24)</t>
    </r>
  </si>
  <si>
    <r>
      <t>ΔkWh</t>
    </r>
    <r>
      <rPr>
        <vertAlign val="subscript"/>
        <sz val="13.2"/>
        <color theme="1"/>
        <rFont val="Corbel"/>
        <family val="2"/>
      </rPr>
      <t>ee</t>
    </r>
  </si>
  <si>
    <r>
      <t>ΔkWh = ΔkWh</t>
    </r>
    <r>
      <rPr>
        <vertAlign val="subscript"/>
        <sz val="12"/>
        <color theme="1"/>
        <rFont val="Franklin Gothic Book"/>
        <family val="2"/>
      </rPr>
      <t xml:space="preserve">cooling </t>
    </r>
    <r>
      <rPr>
        <sz val="10"/>
        <color theme="1"/>
        <rFont val="Calibri"/>
        <family val="2"/>
        <scheme val="minor"/>
      </rPr>
      <t xml:space="preserve"> + ΔkWh</t>
    </r>
    <r>
      <rPr>
        <vertAlign val="subscript"/>
        <sz val="10"/>
        <color theme="1"/>
        <rFont val="Calibri"/>
        <family val="2"/>
        <scheme val="minor"/>
      </rPr>
      <t>heating</t>
    </r>
  </si>
  <si>
    <t>Where;</t>
  </si>
  <si>
    <r>
      <t>ΔkWh</t>
    </r>
    <r>
      <rPr>
        <vertAlign val="subscript"/>
        <sz val="11"/>
        <color theme="1"/>
        <rFont val="Corbel"/>
        <family val="2"/>
      </rPr>
      <t>cooling</t>
    </r>
    <r>
      <rPr>
        <sz val="11"/>
        <color theme="1"/>
        <rFont val="Corbel"/>
        <family val="2"/>
      </rPr>
      <t xml:space="preserve"> = [(ΔkBtu/h</t>
    </r>
    <r>
      <rPr>
        <vertAlign val="subscript"/>
        <sz val="11"/>
        <color theme="1"/>
        <rFont val="Corbel"/>
        <family val="2"/>
      </rPr>
      <t>cooling</t>
    </r>
    <r>
      <rPr>
        <sz val="11"/>
        <color theme="1"/>
        <rFont val="Corbel"/>
        <family val="2"/>
      </rPr>
      <t>/Eff</t>
    </r>
    <r>
      <rPr>
        <vertAlign val="subscript"/>
        <sz val="11"/>
        <color theme="1"/>
        <rFont val="Corbel"/>
        <family val="2"/>
      </rPr>
      <t>ElecCool</t>
    </r>
    <r>
      <rPr>
        <sz val="11"/>
        <color theme="1"/>
        <rFont val="Corbel"/>
        <family val="2"/>
      </rPr>
      <t>) - (hp</t>
    </r>
    <r>
      <rPr>
        <vertAlign val="subscript"/>
        <sz val="11"/>
        <color theme="1"/>
        <rFont val="Corbel"/>
        <family val="2"/>
      </rPr>
      <t>curtain</t>
    </r>
    <r>
      <rPr>
        <sz val="11"/>
        <color theme="1"/>
        <rFont val="Corbel"/>
        <family val="2"/>
      </rPr>
      <t xml:space="preserve"> * 0.746)] * hours * days</t>
    </r>
    <r>
      <rPr>
        <vertAlign val="subscript"/>
        <sz val="11"/>
        <color theme="1"/>
        <rFont val="Corbel"/>
        <family val="2"/>
      </rPr>
      <t>cooling</t>
    </r>
    <r>
      <rPr>
        <sz val="11"/>
        <color theme="1"/>
        <rFont val="Corbel"/>
        <family val="2"/>
      </rPr>
      <t xml:space="preserve">
ΔkBtu/h</t>
    </r>
    <r>
      <rPr>
        <vertAlign val="subscript"/>
        <sz val="11"/>
        <color theme="1"/>
        <rFont val="Corbel"/>
        <family val="2"/>
      </rPr>
      <t xml:space="preserve">cooling </t>
    </r>
    <r>
      <rPr>
        <sz val="11"/>
        <color theme="1"/>
        <rFont val="Corbel"/>
        <family val="2"/>
      </rPr>
      <t>= 4.5 * Q</t>
    </r>
    <r>
      <rPr>
        <vertAlign val="subscript"/>
        <sz val="11"/>
        <color theme="1"/>
        <rFont val="Corbel"/>
        <family val="2"/>
      </rPr>
      <t>A,cooling</t>
    </r>
    <r>
      <rPr>
        <sz val="11"/>
        <color theme="1"/>
        <rFont val="Corbel"/>
        <family val="2"/>
      </rPr>
      <t xml:space="preserve"> * (H</t>
    </r>
    <r>
      <rPr>
        <vertAlign val="subscript"/>
        <sz val="11"/>
        <color theme="1"/>
        <rFont val="Corbel"/>
        <family val="2"/>
      </rPr>
      <t>outdoor,cooling</t>
    </r>
    <r>
      <rPr>
        <sz val="11"/>
        <color theme="1"/>
        <rFont val="Corbel"/>
        <family val="2"/>
      </rPr>
      <t xml:space="preserve"> - H</t>
    </r>
    <r>
      <rPr>
        <vertAlign val="subscript"/>
        <sz val="11"/>
        <color theme="1"/>
        <rFont val="Corbel"/>
        <family val="2"/>
      </rPr>
      <t>indoor,cooling</t>
    </r>
    <r>
      <rPr>
        <sz val="11"/>
        <color theme="1"/>
        <rFont val="Corbel"/>
        <family val="2"/>
      </rPr>
      <t>) * Eff</t>
    </r>
    <r>
      <rPr>
        <vertAlign val="subscript"/>
        <sz val="11"/>
        <color theme="1"/>
        <rFont val="Corbel"/>
        <family val="2"/>
      </rPr>
      <t>curtain</t>
    </r>
    <r>
      <rPr>
        <sz val="11"/>
        <color theme="1"/>
        <rFont val="Corbel"/>
        <family val="2"/>
      </rPr>
      <t xml:space="preserve"> / 1000
Q</t>
    </r>
    <r>
      <rPr>
        <vertAlign val="subscript"/>
        <sz val="11"/>
        <color theme="1"/>
        <rFont val="Corbel"/>
        <family val="2"/>
      </rPr>
      <t xml:space="preserve">A,cooling </t>
    </r>
    <r>
      <rPr>
        <sz val="11"/>
        <color theme="1"/>
        <rFont val="Corbel"/>
        <family val="2"/>
      </rPr>
      <t>= (Q</t>
    </r>
    <r>
      <rPr>
        <vertAlign val="subscript"/>
        <sz val="11"/>
        <color theme="1"/>
        <rFont val="Corbel"/>
        <family val="2"/>
      </rPr>
      <t>wind,cooling</t>
    </r>
    <r>
      <rPr>
        <sz val="11"/>
        <color theme="1"/>
        <rFont val="Corbel"/>
        <family val="2"/>
      </rPr>
      <t>^2 + Q</t>
    </r>
    <r>
      <rPr>
        <vertAlign val="subscript"/>
        <sz val="11"/>
        <color theme="1"/>
        <rFont val="Corbel"/>
        <family val="2"/>
      </rPr>
      <t>thermal,cooling</t>
    </r>
    <r>
      <rPr>
        <sz val="11"/>
        <color theme="1"/>
        <rFont val="Corbel"/>
        <family val="2"/>
      </rPr>
      <t>^2) ^ 0.5
Q</t>
    </r>
    <r>
      <rPr>
        <vertAlign val="subscript"/>
        <sz val="11"/>
        <color theme="1"/>
        <rFont val="Corbel"/>
        <family val="2"/>
      </rPr>
      <t>wind,cooling</t>
    </r>
    <r>
      <rPr>
        <sz val="11"/>
        <color theme="1"/>
        <rFont val="Corbel"/>
        <family val="2"/>
      </rPr>
      <t xml:space="preserve"> = MPH</t>
    </r>
    <r>
      <rPr>
        <vertAlign val="subscript"/>
        <sz val="11"/>
        <color theme="1"/>
        <rFont val="Corbel"/>
        <family val="2"/>
      </rPr>
      <t>cooling</t>
    </r>
    <r>
      <rPr>
        <sz val="11"/>
        <color theme="1"/>
        <rFont val="Corbel"/>
        <family val="2"/>
      </rPr>
      <t xml:space="preserve"> * ht * l * F</t>
    </r>
    <r>
      <rPr>
        <vertAlign val="subscript"/>
        <sz val="11"/>
        <color theme="1"/>
        <rFont val="Corbel"/>
        <family val="2"/>
      </rPr>
      <t>opening</t>
    </r>
    <r>
      <rPr>
        <sz val="11"/>
        <color theme="1"/>
        <rFont val="Corbel"/>
        <family val="2"/>
      </rPr>
      <t xml:space="preserve"> * 88
Q</t>
    </r>
    <r>
      <rPr>
        <vertAlign val="subscript"/>
        <sz val="11"/>
        <color theme="1"/>
        <rFont val="Corbel"/>
        <family val="2"/>
      </rPr>
      <t>thermal,cooling</t>
    </r>
    <r>
      <rPr>
        <sz val="11"/>
        <color theme="1"/>
        <rFont val="Corbel"/>
        <family val="2"/>
      </rPr>
      <t xml:space="preserve"> = 60 * ht * l * F</t>
    </r>
    <r>
      <rPr>
        <vertAlign val="subscript"/>
        <sz val="11"/>
        <color theme="1"/>
        <rFont val="Corbel"/>
        <family val="2"/>
      </rPr>
      <t xml:space="preserve">discharge </t>
    </r>
    <r>
      <rPr>
        <sz val="11"/>
        <color theme="1"/>
        <rFont val="Corbel"/>
        <family val="2"/>
      </rPr>
      <t>* [32.2 * ht * (T</t>
    </r>
    <r>
      <rPr>
        <vertAlign val="subscript"/>
        <sz val="11"/>
        <color theme="1"/>
        <rFont val="Corbel"/>
        <family val="2"/>
      </rPr>
      <t>outdoor,cooling</t>
    </r>
    <r>
      <rPr>
        <sz val="11"/>
        <color theme="1"/>
        <rFont val="Corbel"/>
        <family val="2"/>
      </rPr>
      <t xml:space="preserve"> - T</t>
    </r>
    <r>
      <rPr>
        <vertAlign val="subscript"/>
        <sz val="11"/>
        <color theme="1"/>
        <rFont val="Corbel"/>
        <family val="2"/>
      </rPr>
      <t>indoor,cooling</t>
    </r>
    <r>
      <rPr>
        <sz val="11"/>
        <color theme="1"/>
        <rFont val="Corbel"/>
        <family val="2"/>
      </rPr>
      <t>)/(T</t>
    </r>
    <r>
      <rPr>
        <vertAlign val="subscript"/>
        <sz val="11"/>
        <color theme="1"/>
        <rFont val="Corbel"/>
        <family val="2"/>
      </rPr>
      <t>outdoor,cooling</t>
    </r>
    <r>
      <rPr>
        <sz val="11"/>
        <color theme="1"/>
        <rFont val="Corbel"/>
        <family val="2"/>
      </rPr>
      <t xml:space="preserve"> + 459.67)] ^ 0.5</t>
    </r>
  </si>
  <si>
    <r>
      <t>ΔkWh</t>
    </r>
    <r>
      <rPr>
        <vertAlign val="subscript"/>
        <sz val="11"/>
        <color theme="1"/>
        <rFont val="Corbel"/>
        <family val="2"/>
      </rPr>
      <t>heating</t>
    </r>
    <r>
      <rPr>
        <sz val="11"/>
        <color theme="1"/>
        <rFont val="Corbel"/>
        <family val="2"/>
      </rPr>
      <t xml:space="preserve"> = [(ΔkBtu/h</t>
    </r>
    <r>
      <rPr>
        <vertAlign val="subscript"/>
        <sz val="11"/>
        <color theme="1"/>
        <rFont val="Corbel"/>
        <family val="2"/>
      </rPr>
      <t>heating</t>
    </r>
    <r>
      <rPr>
        <sz val="11"/>
        <color theme="1"/>
        <rFont val="Corbel"/>
        <family val="2"/>
      </rPr>
      <t>/Eff</t>
    </r>
    <r>
      <rPr>
        <vertAlign val="subscript"/>
        <sz val="11"/>
        <color theme="1"/>
        <rFont val="Corbel"/>
        <family val="2"/>
      </rPr>
      <t>ElecHeat</t>
    </r>
    <r>
      <rPr>
        <sz val="11"/>
        <color theme="1"/>
        <rFont val="Corbel"/>
        <family val="2"/>
      </rPr>
      <t>) * F</t>
    </r>
    <r>
      <rPr>
        <vertAlign val="subscript"/>
        <sz val="11"/>
        <color theme="1"/>
        <rFont val="Corbel"/>
        <family val="2"/>
      </rPr>
      <t>elecHeat</t>
    </r>
    <r>
      <rPr>
        <sz val="11"/>
        <color theme="1"/>
        <rFont val="Corbel"/>
        <family val="2"/>
      </rPr>
      <t xml:space="preserve"> - (hp</t>
    </r>
    <r>
      <rPr>
        <vertAlign val="subscript"/>
        <sz val="11"/>
        <color theme="1"/>
        <rFont val="Corbel"/>
        <family val="2"/>
      </rPr>
      <t>curtain</t>
    </r>
    <r>
      <rPr>
        <sz val="11"/>
        <color theme="1"/>
        <rFont val="Corbel"/>
        <family val="2"/>
      </rPr>
      <t xml:space="preserve"> * 0.746)] * hours * days</t>
    </r>
    <r>
      <rPr>
        <vertAlign val="subscript"/>
        <sz val="11"/>
        <color theme="1"/>
        <rFont val="Corbel"/>
        <family val="2"/>
      </rPr>
      <t>heating</t>
    </r>
    <r>
      <rPr>
        <sz val="11"/>
        <color theme="1"/>
        <rFont val="Corbel"/>
        <family val="2"/>
      </rPr>
      <t xml:space="preserve">
ΔkBtu/h</t>
    </r>
    <r>
      <rPr>
        <vertAlign val="subscript"/>
        <sz val="11"/>
        <color theme="1"/>
        <rFont val="Corbel"/>
        <family val="2"/>
      </rPr>
      <t>heating</t>
    </r>
    <r>
      <rPr>
        <sz val="11"/>
        <color theme="1"/>
        <rFont val="Corbel"/>
        <family val="2"/>
      </rPr>
      <t xml:space="preserve"> = 1.08 * Q</t>
    </r>
    <r>
      <rPr>
        <vertAlign val="subscript"/>
        <sz val="11"/>
        <color theme="1"/>
        <rFont val="Corbel"/>
        <family val="2"/>
      </rPr>
      <t>A,heating</t>
    </r>
    <r>
      <rPr>
        <sz val="11"/>
        <color theme="1"/>
        <rFont val="Corbel"/>
        <family val="2"/>
      </rPr>
      <t xml:space="preserve"> * (T</t>
    </r>
    <r>
      <rPr>
        <vertAlign val="subscript"/>
        <sz val="11"/>
        <color theme="1"/>
        <rFont val="Corbel"/>
        <family val="2"/>
      </rPr>
      <t>indoor,heating</t>
    </r>
    <r>
      <rPr>
        <sz val="11"/>
        <color theme="1"/>
        <rFont val="Corbel"/>
        <family val="2"/>
      </rPr>
      <t xml:space="preserve"> - T</t>
    </r>
    <r>
      <rPr>
        <vertAlign val="subscript"/>
        <sz val="11"/>
        <color theme="1"/>
        <rFont val="Corbel"/>
        <family val="2"/>
      </rPr>
      <t>outdoor,heating</t>
    </r>
    <r>
      <rPr>
        <sz val="11"/>
        <color theme="1"/>
        <rFont val="Corbel"/>
        <family val="2"/>
      </rPr>
      <t>) * Eff</t>
    </r>
    <r>
      <rPr>
        <vertAlign val="subscript"/>
        <sz val="11"/>
        <color theme="1"/>
        <rFont val="Corbel"/>
        <family val="2"/>
      </rPr>
      <t>curtain</t>
    </r>
    <r>
      <rPr>
        <sz val="11"/>
        <color theme="1"/>
        <rFont val="Corbel"/>
        <family val="2"/>
      </rPr>
      <t xml:space="preserve"> / 1000
Q</t>
    </r>
    <r>
      <rPr>
        <vertAlign val="subscript"/>
        <sz val="11"/>
        <color theme="1"/>
        <rFont val="Corbel"/>
        <family val="2"/>
      </rPr>
      <t>A,heating</t>
    </r>
    <r>
      <rPr>
        <sz val="11"/>
        <color theme="1"/>
        <rFont val="Corbel"/>
        <family val="2"/>
      </rPr>
      <t xml:space="preserve"> = (Q</t>
    </r>
    <r>
      <rPr>
        <vertAlign val="subscript"/>
        <sz val="11"/>
        <color theme="1"/>
        <rFont val="Corbel"/>
        <family val="2"/>
      </rPr>
      <t>wind,heating</t>
    </r>
    <r>
      <rPr>
        <sz val="11"/>
        <color theme="1"/>
        <rFont val="Corbel"/>
        <family val="2"/>
      </rPr>
      <t>^2 + Q</t>
    </r>
    <r>
      <rPr>
        <vertAlign val="subscript"/>
        <sz val="11"/>
        <color theme="1"/>
        <rFont val="Corbel"/>
        <family val="2"/>
      </rPr>
      <t>thermal,heating</t>
    </r>
    <r>
      <rPr>
        <sz val="11"/>
        <color theme="1"/>
        <rFont val="Corbel"/>
        <family val="2"/>
      </rPr>
      <t>^2) ^ 0.5
Q</t>
    </r>
    <r>
      <rPr>
        <vertAlign val="subscript"/>
        <sz val="11"/>
        <color theme="1"/>
        <rFont val="Corbel"/>
        <family val="2"/>
      </rPr>
      <t>wind,heating</t>
    </r>
    <r>
      <rPr>
        <sz val="11"/>
        <color theme="1"/>
        <rFont val="Corbel"/>
        <family val="2"/>
      </rPr>
      <t xml:space="preserve"> = MPH</t>
    </r>
    <r>
      <rPr>
        <vertAlign val="subscript"/>
        <sz val="11"/>
        <color theme="1"/>
        <rFont val="Corbel"/>
        <family val="2"/>
      </rPr>
      <t>heating</t>
    </r>
    <r>
      <rPr>
        <sz val="11"/>
        <color theme="1"/>
        <rFont val="Corbel"/>
        <family val="2"/>
      </rPr>
      <t xml:space="preserve"> * ht * l * F</t>
    </r>
    <r>
      <rPr>
        <vertAlign val="subscript"/>
        <sz val="11"/>
        <color theme="1"/>
        <rFont val="Corbel"/>
        <family val="2"/>
      </rPr>
      <t>opening</t>
    </r>
    <r>
      <rPr>
        <sz val="11"/>
        <color theme="1"/>
        <rFont val="Corbel"/>
        <family val="2"/>
      </rPr>
      <t xml:space="preserve"> * 88
Q</t>
    </r>
    <r>
      <rPr>
        <vertAlign val="subscript"/>
        <sz val="11"/>
        <color theme="1"/>
        <rFont val="Corbel"/>
        <family val="2"/>
      </rPr>
      <t>thermal,heating</t>
    </r>
    <r>
      <rPr>
        <sz val="11"/>
        <color theme="1"/>
        <rFont val="Corbel"/>
        <family val="2"/>
      </rPr>
      <t xml:space="preserve"> = 60 * ht * l * F</t>
    </r>
    <r>
      <rPr>
        <vertAlign val="subscript"/>
        <sz val="11"/>
        <color theme="1"/>
        <rFont val="Corbel"/>
        <family val="2"/>
      </rPr>
      <t>discharge</t>
    </r>
    <r>
      <rPr>
        <sz val="11"/>
        <color theme="1"/>
        <rFont val="Corbel"/>
        <family val="2"/>
      </rPr>
      <t xml:space="preserve"> * [32.2 * ht * (T</t>
    </r>
    <r>
      <rPr>
        <vertAlign val="subscript"/>
        <sz val="11"/>
        <color theme="1"/>
        <rFont val="Corbel"/>
        <family val="2"/>
      </rPr>
      <t>indoor,heating</t>
    </r>
    <r>
      <rPr>
        <sz val="11"/>
        <color theme="1"/>
        <rFont val="Corbel"/>
        <family val="2"/>
      </rPr>
      <t xml:space="preserve"> - T</t>
    </r>
    <r>
      <rPr>
        <vertAlign val="subscript"/>
        <sz val="11"/>
        <color theme="1"/>
        <rFont val="Corbel"/>
        <family val="2"/>
      </rPr>
      <t>outdoor,heating</t>
    </r>
    <r>
      <rPr>
        <sz val="11"/>
        <color theme="1"/>
        <rFont val="Corbel"/>
        <family val="2"/>
      </rPr>
      <t>)/(T</t>
    </r>
    <r>
      <rPr>
        <vertAlign val="subscript"/>
        <sz val="11"/>
        <color theme="1"/>
        <rFont val="Corbel"/>
        <family val="2"/>
      </rPr>
      <t>indoor,heating</t>
    </r>
    <r>
      <rPr>
        <sz val="11"/>
        <color theme="1"/>
        <rFont val="Corbel"/>
        <family val="2"/>
      </rPr>
      <t xml:space="preserve"> + 459.67)] ^ 0.5</t>
    </r>
  </si>
  <si>
    <t>kWhbe</t>
  </si>
  <si>
    <t>ΔMMBtuee =  [(ΔkBtu/hheating/(EffFuelHeat * 1000)) * FfuelHeat * hours * daysheating  + kWhee * kWh_to_MMBtu</t>
  </si>
  <si>
    <r>
      <t>Eff</t>
    </r>
    <r>
      <rPr>
        <vertAlign val="subscript"/>
        <sz val="11"/>
        <color theme="1"/>
        <rFont val="Corbel"/>
        <family val="2"/>
      </rPr>
      <t>ElecCool</t>
    </r>
    <r>
      <rPr>
        <sz val="11"/>
        <color theme="1"/>
        <rFont val="Corbel"/>
        <family val="2"/>
      </rPr>
      <t>: Cooling System Efficiency (SEER/IEER)</t>
    </r>
  </si>
  <si>
    <t>Btu/W hr</t>
  </si>
  <si>
    <r>
      <t>Eff</t>
    </r>
    <r>
      <rPr>
        <vertAlign val="subscript"/>
        <sz val="11"/>
        <color theme="1"/>
        <rFont val="Corbel"/>
        <family val="2"/>
      </rPr>
      <t>ElecHeat</t>
    </r>
    <r>
      <rPr>
        <sz val="11"/>
        <color theme="1"/>
        <rFont val="Corbel"/>
        <family val="2"/>
      </rPr>
      <t>: Electric Heating System Efficiency (HSPF)</t>
    </r>
  </si>
  <si>
    <r>
      <t>Eff</t>
    </r>
    <r>
      <rPr>
        <vertAlign val="subscript"/>
        <sz val="11"/>
        <color theme="1"/>
        <rFont val="Corbel"/>
        <family val="2"/>
      </rPr>
      <t>FuelHeat</t>
    </r>
    <r>
      <rPr>
        <sz val="11"/>
        <color theme="1"/>
        <rFont val="Corbel"/>
        <family val="2"/>
      </rPr>
      <t>: Fossil Fuel Heating System Efficiency</t>
    </r>
  </si>
  <si>
    <r>
      <t>hp</t>
    </r>
    <r>
      <rPr>
        <vertAlign val="subscript"/>
        <sz val="11"/>
        <color theme="1"/>
        <rFont val="Corbel"/>
        <family val="2"/>
      </rPr>
      <t>curtain</t>
    </r>
    <r>
      <rPr>
        <sz val="11"/>
        <color theme="1"/>
        <rFont val="Corbel"/>
        <family val="2"/>
      </rPr>
      <t>: Horsepower of air curtain motor</t>
    </r>
  </si>
  <si>
    <t>hp</t>
  </si>
  <si>
    <t>hours: Daily run hours of air curtains</t>
  </si>
  <si>
    <t>hrs.</t>
  </si>
  <si>
    <t>From TRC's savings workbook; deemed reasonable based on engineering judgment</t>
  </si>
  <si>
    <r>
      <t>days</t>
    </r>
    <r>
      <rPr>
        <vertAlign val="subscript"/>
        <sz val="11"/>
        <color theme="1"/>
        <rFont val="Corbel"/>
        <family val="2"/>
      </rPr>
      <t>cooling</t>
    </r>
    <r>
      <rPr>
        <sz val="11"/>
        <color theme="1"/>
        <rFont val="Corbel"/>
        <family val="2"/>
      </rPr>
      <t>: Days of operation of air curtains during cooling season</t>
    </r>
  </si>
  <si>
    <t>From application
If unknown use 98</t>
  </si>
  <si>
    <t>days</t>
  </si>
  <si>
    <r>
      <t>days</t>
    </r>
    <r>
      <rPr>
        <vertAlign val="subscript"/>
        <sz val="11"/>
        <color theme="1"/>
        <rFont val="Corbel"/>
        <family val="2"/>
      </rPr>
      <t>heating</t>
    </r>
    <r>
      <rPr>
        <sz val="11"/>
        <color theme="1"/>
        <rFont val="Corbel"/>
        <family val="2"/>
      </rPr>
      <t>: Days of operation of air curtains during heating season</t>
    </r>
  </si>
  <si>
    <t>From application
If unknown use 180</t>
  </si>
  <si>
    <t>ht: Height of door way</t>
  </si>
  <si>
    <t>ft.</t>
  </si>
  <si>
    <t>l: Length of door way</t>
  </si>
  <si>
    <r>
      <t>Eff</t>
    </r>
    <r>
      <rPr>
        <vertAlign val="subscript"/>
        <sz val="11"/>
        <color theme="1"/>
        <rFont val="Corbel"/>
        <family val="2"/>
      </rPr>
      <t>curtain</t>
    </r>
    <r>
      <rPr>
        <sz val="11"/>
        <color theme="1"/>
        <rFont val="Corbel"/>
        <family val="2"/>
      </rPr>
      <t>: Curtain effectiveness</t>
    </r>
  </si>
  <si>
    <r>
      <t>T</t>
    </r>
    <r>
      <rPr>
        <vertAlign val="subscript"/>
        <sz val="11"/>
        <color theme="1"/>
        <rFont val="Corbel"/>
        <family val="2"/>
      </rPr>
      <t>outdoor,cooling</t>
    </r>
    <r>
      <rPr>
        <sz val="11"/>
        <color theme="1"/>
        <rFont val="Corbel"/>
        <family val="2"/>
      </rPr>
      <t>: Cooling season average outdoor temperature</t>
    </r>
  </si>
  <si>
    <t>⁰F</t>
  </si>
  <si>
    <r>
      <t>T</t>
    </r>
    <r>
      <rPr>
        <vertAlign val="subscript"/>
        <sz val="11"/>
        <color theme="1"/>
        <rFont val="Corbel"/>
        <family val="2"/>
      </rPr>
      <t>indoor,cooling</t>
    </r>
    <r>
      <rPr>
        <sz val="11"/>
        <color theme="1"/>
        <rFont val="Corbel"/>
        <family val="2"/>
      </rPr>
      <t>: Cooling season average indoor temperature</t>
    </r>
  </si>
  <si>
    <t>From application
If unknown use 85</t>
  </si>
  <si>
    <r>
      <t>T</t>
    </r>
    <r>
      <rPr>
        <vertAlign val="subscript"/>
        <sz val="11"/>
        <color theme="1"/>
        <rFont val="Corbel"/>
        <family val="2"/>
      </rPr>
      <t>outdoor,heating</t>
    </r>
    <r>
      <rPr>
        <sz val="11"/>
        <color theme="1"/>
        <rFont val="Corbel"/>
        <family val="2"/>
      </rPr>
      <t>: Heating season average outdoor temperature</t>
    </r>
  </si>
  <si>
    <t>30Year Normal for MacArthur Airport</t>
  </si>
  <si>
    <r>
      <t>T</t>
    </r>
    <r>
      <rPr>
        <vertAlign val="subscript"/>
        <sz val="11"/>
        <color theme="1"/>
        <rFont val="Corbel"/>
        <family val="2"/>
      </rPr>
      <t>indoor,heating</t>
    </r>
    <r>
      <rPr>
        <sz val="11"/>
        <color theme="1"/>
        <rFont val="Corbel"/>
        <family val="2"/>
      </rPr>
      <t>: Heating season average indoor temperature</t>
    </r>
  </si>
  <si>
    <t>From application
If unknown use 60</t>
  </si>
  <si>
    <r>
      <t>MPH</t>
    </r>
    <r>
      <rPr>
        <vertAlign val="subscript"/>
        <sz val="11"/>
        <color theme="1"/>
        <rFont val="Corbel"/>
        <family val="2"/>
      </rPr>
      <t>cooling</t>
    </r>
    <r>
      <rPr>
        <sz val="11"/>
        <color theme="1"/>
        <rFont val="Corbel"/>
        <family val="2"/>
      </rPr>
      <t>: Wind Speed in Cooling Season</t>
    </r>
  </si>
  <si>
    <t>MPH</t>
  </si>
  <si>
    <r>
      <t>MPH</t>
    </r>
    <r>
      <rPr>
        <vertAlign val="subscript"/>
        <sz val="11"/>
        <color theme="1"/>
        <rFont val="Corbel"/>
        <family val="2"/>
      </rPr>
      <t>heating</t>
    </r>
    <r>
      <rPr>
        <sz val="11"/>
        <color theme="1"/>
        <rFont val="Corbel"/>
        <family val="2"/>
      </rPr>
      <t>: Wind Speed in Heating Season</t>
    </r>
  </si>
  <si>
    <r>
      <t>H</t>
    </r>
    <r>
      <rPr>
        <vertAlign val="subscript"/>
        <sz val="11"/>
        <color theme="1"/>
        <rFont val="Corbel"/>
        <family val="2"/>
      </rPr>
      <t>indoor,cooling</t>
    </r>
    <r>
      <rPr>
        <sz val="11"/>
        <color theme="1"/>
        <rFont val="Corbel"/>
        <family val="2"/>
      </rPr>
      <t>: Indoor Cooling Enthalpy</t>
    </r>
  </si>
  <si>
    <t>BTU/lb</t>
  </si>
  <si>
    <r>
      <t>H</t>
    </r>
    <r>
      <rPr>
        <vertAlign val="subscript"/>
        <sz val="11"/>
        <color theme="1"/>
        <rFont val="Corbel"/>
        <family val="2"/>
      </rPr>
      <t>outdoor,cooling</t>
    </r>
    <r>
      <rPr>
        <sz val="11"/>
        <color theme="1"/>
        <rFont val="Corbel"/>
        <family val="2"/>
      </rPr>
      <t>: Outdoor Cooling Enthalpy</t>
    </r>
  </si>
  <si>
    <r>
      <t>F</t>
    </r>
    <r>
      <rPr>
        <vertAlign val="subscript"/>
        <sz val="11"/>
        <color theme="1"/>
        <rFont val="Corbel"/>
        <family val="2"/>
      </rPr>
      <t>fuelHeat</t>
    </r>
    <r>
      <rPr>
        <sz val="11"/>
        <color theme="1"/>
        <rFont val="Corbel"/>
        <family val="2"/>
      </rPr>
      <t xml:space="preserve">: Check for the presence of fossil fuel fired heating </t>
    </r>
  </si>
  <si>
    <r>
      <t>F</t>
    </r>
    <r>
      <rPr>
        <vertAlign val="subscript"/>
        <sz val="11"/>
        <color theme="1"/>
        <rFont val="Corbel"/>
        <family val="2"/>
      </rPr>
      <t>elecHeat</t>
    </r>
    <r>
      <rPr>
        <sz val="11"/>
        <color theme="1"/>
        <rFont val="Corbel"/>
        <family val="2"/>
      </rPr>
      <t xml:space="preserve">: Check for the presence of electric heating </t>
    </r>
  </si>
  <si>
    <t>Horsepower to kW conversion factor</t>
  </si>
  <si>
    <t>kW/hp</t>
  </si>
  <si>
    <t>Fahrenheit to Rankine conversion</t>
  </si>
  <si>
    <t>F/R</t>
  </si>
  <si>
    <t>Gravitational constant</t>
  </si>
  <si>
    <r>
      <t>ft/s</t>
    </r>
    <r>
      <rPr>
        <vertAlign val="superscript"/>
        <sz val="11"/>
        <color theme="1"/>
        <rFont val="Corbel"/>
        <family val="2"/>
      </rPr>
      <t>2</t>
    </r>
  </si>
  <si>
    <t>Miles per hour to feet per minute conversion</t>
  </si>
  <si>
    <t>(ft/min)/(miles/hr)</t>
  </si>
  <si>
    <r>
      <t>F</t>
    </r>
    <r>
      <rPr>
        <vertAlign val="subscript"/>
        <sz val="11"/>
        <color theme="1"/>
        <rFont val="Corbel"/>
        <family val="2"/>
      </rPr>
      <t>opening</t>
    </r>
    <r>
      <rPr>
        <sz val="11"/>
        <color theme="1"/>
        <rFont val="Corbel"/>
        <family val="2"/>
      </rPr>
      <t>: Effectiveness of opening factor</t>
    </r>
  </si>
  <si>
    <r>
      <t>F</t>
    </r>
    <r>
      <rPr>
        <vertAlign val="subscript"/>
        <sz val="11"/>
        <color theme="1"/>
        <rFont val="Corbel"/>
        <family val="2"/>
      </rPr>
      <t>discharge</t>
    </r>
    <r>
      <rPr>
        <sz val="11"/>
        <color theme="1"/>
        <rFont val="Corbel"/>
        <family val="2"/>
      </rPr>
      <t>: Discharge coefficient for opening</t>
    </r>
  </si>
  <si>
    <t>Simplified approach for establishing default kBtu/h (Heating and Cooling) from NYS TRMv11</t>
  </si>
  <si>
    <t>City</t>
  </si>
  <si>
    <r>
      <t>kBtu/h</t>
    </r>
    <r>
      <rPr>
        <b/>
        <vertAlign val="subscript"/>
        <sz val="11"/>
        <color theme="0"/>
        <rFont val="Corbel"/>
        <family val="2"/>
      </rPr>
      <t>cooling</t>
    </r>
  </si>
  <si>
    <r>
      <t>kBtu/h</t>
    </r>
    <r>
      <rPr>
        <b/>
        <vertAlign val="subscript"/>
        <sz val="11"/>
        <color theme="0"/>
        <rFont val="Corbel"/>
        <family val="2"/>
      </rPr>
      <t>heating</t>
    </r>
  </si>
  <si>
    <t>NYC</t>
  </si>
  <si>
    <t>7*A - 0.56</t>
  </si>
  <si>
    <t>2.43 * A - 0.35</t>
  </si>
  <si>
    <t>ΔkW = ΔkWh/8,760</t>
  </si>
  <si>
    <r>
      <t xml:space="preserve">ΔkWh =  </t>
    </r>
    <r>
      <rPr>
        <sz val="11"/>
        <color theme="1"/>
        <rFont val="Corbel"/>
        <family val="2"/>
      </rPr>
      <t>[(UA/L)</t>
    </r>
    <r>
      <rPr>
        <vertAlign val="subscript"/>
        <sz val="11"/>
        <color theme="1"/>
        <rFont val="Corbel"/>
        <family val="2"/>
      </rPr>
      <t>baseline</t>
    </r>
    <r>
      <rPr>
        <sz val="11"/>
        <color theme="1"/>
        <rFont val="Corbel"/>
        <family val="2"/>
      </rPr>
      <t xml:space="preserve"> - (UA/L)</t>
    </r>
    <r>
      <rPr>
        <vertAlign val="subscript"/>
        <sz val="11"/>
        <color theme="1"/>
        <rFont val="Corbel"/>
        <family val="2"/>
      </rPr>
      <t>ee</t>
    </r>
    <r>
      <rPr>
        <sz val="11"/>
        <color theme="1"/>
        <rFont val="Corbel"/>
        <family val="2"/>
      </rPr>
      <t>] / [E</t>
    </r>
    <r>
      <rPr>
        <vertAlign val="subscript"/>
        <sz val="11"/>
        <color theme="1"/>
        <rFont val="Corbel"/>
        <family val="2"/>
      </rPr>
      <t>t,elec</t>
    </r>
    <r>
      <rPr>
        <sz val="11"/>
        <color theme="1"/>
        <rFont val="Corbel"/>
        <family val="2"/>
      </rPr>
      <t xml:space="preserve"> * 3412] * L* </t>
    </r>
    <r>
      <rPr>
        <sz val="11"/>
        <color theme="1"/>
        <rFont val="Calibri"/>
        <family val="2"/>
      </rPr>
      <t>(T</t>
    </r>
    <r>
      <rPr>
        <vertAlign val="subscript"/>
        <sz val="11"/>
        <color theme="1"/>
        <rFont val="Calibri"/>
        <family val="2"/>
      </rPr>
      <t>pipe</t>
    </r>
    <r>
      <rPr>
        <sz val="11"/>
        <color theme="1"/>
        <rFont val="Calibri"/>
        <family val="2"/>
      </rPr>
      <t xml:space="preserve"> - T</t>
    </r>
    <r>
      <rPr>
        <vertAlign val="subscript"/>
        <sz val="11"/>
        <color theme="1"/>
        <rFont val="Calibri"/>
        <family val="2"/>
      </rPr>
      <t>amb</t>
    </r>
    <r>
      <rPr>
        <sz val="11"/>
        <color theme="1"/>
        <rFont val="Calibri"/>
        <family val="2"/>
      </rPr>
      <t>)</t>
    </r>
    <r>
      <rPr>
        <sz val="11"/>
        <color theme="1"/>
        <rFont val="Corbel"/>
        <family val="2"/>
      </rPr>
      <t xml:space="preserve"> * hours * ElecSF</t>
    </r>
  </si>
  <si>
    <t>MMBtuee = [(UA/L)baseline - (UA/L)ee] / [Et,fuel * 1000000] * L* (Tpipe - Tamb) * hours * FuelSF  + kWhee * kWh_to_MMBtu</t>
  </si>
  <si>
    <r>
      <t>E</t>
    </r>
    <r>
      <rPr>
        <vertAlign val="subscript"/>
        <sz val="11"/>
        <color theme="1"/>
        <rFont val="Corbel"/>
        <family val="2"/>
      </rPr>
      <t>t,elec</t>
    </r>
    <r>
      <rPr>
        <sz val="11"/>
        <color theme="1"/>
        <rFont val="Corbel"/>
        <family val="2"/>
      </rPr>
      <t>: Thermal efficiency of electric water heater</t>
    </r>
  </si>
  <si>
    <t>From application
If unknown use 0.98</t>
  </si>
  <si>
    <r>
      <t>E</t>
    </r>
    <r>
      <rPr>
        <vertAlign val="subscript"/>
        <sz val="11"/>
        <color theme="1"/>
        <rFont val="Corbel"/>
        <family val="2"/>
      </rPr>
      <t>t,fuel</t>
    </r>
    <r>
      <rPr>
        <sz val="11"/>
        <color theme="1"/>
        <rFont val="Corbel"/>
        <family val="2"/>
      </rPr>
      <t>: Thermal efficiency of fossil fuel water heater</t>
    </r>
  </si>
  <si>
    <t>From application
If unknown use 0.75 for DHW
For HW and steam boilers, see NY TRMv11 pg. 93</t>
  </si>
  <si>
    <r>
      <t>(UA/L)</t>
    </r>
    <r>
      <rPr>
        <vertAlign val="subscript"/>
        <sz val="11"/>
        <color theme="1"/>
        <rFont val="Corbel"/>
        <family val="2"/>
      </rPr>
      <t>baseline</t>
    </r>
    <r>
      <rPr>
        <sz val="11"/>
        <color theme="1"/>
        <rFont val="Corbel"/>
        <family val="2"/>
      </rPr>
      <t>: Overall heat transfer coefficient in baseline case</t>
    </r>
  </si>
  <si>
    <t>HW and Steam Boilers: See Boiler Efficiencies section below</t>
  </si>
  <si>
    <t>Btu/h-F-ft</t>
  </si>
  <si>
    <r>
      <t>(UA/L)</t>
    </r>
    <r>
      <rPr>
        <vertAlign val="subscript"/>
        <sz val="11"/>
        <color theme="1"/>
        <rFont val="Corbel"/>
        <family val="2"/>
      </rPr>
      <t>ee</t>
    </r>
    <r>
      <rPr>
        <sz val="11"/>
        <color theme="1"/>
        <rFont val="Corbel"/>
        <family val="2"/>
      </rPr>
      <t>: Overall heat transfer coefficient in installed case</t>
    </r>
  </si>
  <si>
    <t>Lookup from Compliance Efficiency section below, based on pipe diameter and insulation type and thickness.</t>
  </si>
  <si>
    <t>hours: Annual operating hours</t>
  </si>
  <si>
    <t>8760 (DHW)
Select based on building type from NYS TRMv11 (space heating applications)</t>
  </si>
  <si>
    <t>L: Length of installed insulation in unconditioned spaces</t>
  </si>
  <si>
    <r>
      <t>T</t>
    </r>
    <r>
      <rPr>
        <vertAlign val="subscript"/>
        <sz val="11"/>
        <color theme="1"/>
        <rFont val="Corbel"/>
        <family val="2"/>
      </rPr>
      <t>pipe</t>
    </r>
    <r>
      <rPr>
        <sz val="11"/>
        <color theme="1"/>
        <rFont val="Corbel"/>
        <family val="2"/>
      </rPr>
      <t>: Water Temperature</t>
    </r>
  </si>
  <si>
    <t>125 (DHW)
160 (HW boiler)
212 (steam boiler)</t>
  </si>
  <si>
    <r>
      <t>T</t>
    </r>
    <r>
      <rPr>
        <vertAlign val="subscript"/>
        <sz val="11"/>
        <color theme="1"/>
        <rFont val="Corbel"/>
        <family val="2"/>
      </rPr>
      <t>amb</t>
    </r>
    <r>
      <rPr>
        <sz val="11"/>
        <color theme="1"/>
        <rFont val="Corbel"/>
        <family val="2"/>
      </rPr>
      <t>: Ambient Temperature</t>
    </r>
  </si>
  <si>
    <t>ElecSF: Electric savings factor for water heaters</t>
  </si>
  <si>
    <t>Electric WH: 1.0
Fossil Fuel WH: 0
Unknown WH: 0.46
Space Heat: 0</t>
  </si>
  <si>
    <t>FuelSF: Fossil fuel savings factor for water heaters</t>
  </si>
  <si>
    <t>Electric WH: 0
Fossil Fuel WH: 1.0
Unknown WH: 0.52
Space Heat: 1.0</t>
  </si>
  <si>
    <t>1.0 (electric DHW)
0 (fossil fuel DHW)</t>
  </si>
  <si>
    <t>Pipe Diameter (in)</t>
  </si>
  <si>
    <t>(UA/L)baseline: Overall heat transfer coefficient (baseline) from NYS TRMv10</t>
  </si>
  <si>
    <t>Bare Copper Piping</t>
  </si>
  <si>
    <t>Bare Steel Piping</t>
  </si>
  <si>
    <t xml:space="preserve">Bare CPVC/PEX Piping
</t>
  </si>
  <si>
    <t>HW heating</t>
  </si>
  <si>
    <t>Steam Heat</t>
  </si>
  <si>
    <t>(UA/L)ee: Overall heat transfer coefficient (installed) from NYS TRMv10</t>
  </si>
  <si>
    <t>0.5 in</t>
  </si>
  <si>
    <t>1 in</t>
  </si>
  <si>
    <t>1.5 in</t>
  </si>
  <si>
    <t>2 in</t>
  </si>
  <si>
    <t>2.5 in</t>
  </si>
  <si>
    <t xml:space="preserve">3 in </t>
  </si>
  <si>
    <t>DAC?</t>
  </si>
  <si>
    <t>Select..</t>
  </si>
  <si>
    <t>No</t>
  </si>
  <si>
    <t>Unsure</t>
  </si>
  <si>
    <t>https://www.nyserda.ny.gov/ny/disadvantaged-communities</t>
  </si>
  <si>
    <t>Small Commercial Buildings - Values from NYS TRMv10 for New York City</t>
  </si>
  <si>
    <t>EFLCH</t>
  </si>
  <si>
    <t>EFLHH</t>
  </si>
  <si>
    <t>Religious Worship</t>
  </si>
  <si>
    <t>01.01.2025</t>
  </si>
  <si>
    <t>DAC Rebate</t>
  </si>
  <si>
    <t>Applications must be saved as:  25ComWeaWor_&lt;&lt;&lt;customer Name&gt;&gt;MMDDYYYY.xls</t>
  </si>
  <si>
    <t>A few nearby obstructions</t>
  </si>
  <si>
    <t>11.21.24</t>
  </si>
  <si>
    <t>References: Updated Insulation Location Dropdown</t>
  </si>
  <si>
    <t>v1_D15</t>
  </si>
  <si>
    <t>*"DAC" may be eligible for up to 25% increased rebates</t>
  </si>
  <si>
    <t>Located in a Disadvantaged Community*:</t>
  </si>
  <si>
    <t xml:space="preserve">If customer is located in a Disadvantaged Community ("DAC'), Customer may be eligible for up to 25% increased rebates. "DAC" final determination will be made by PSEG Long Island. </t>
  </si>
  <si>
    <t xml:space="preserve">Commercial Weatherization rebates are available to all PSEG Long Island commercial customers.
If customer is located in a Disadvantaged Community, Customer may be eligible for up to 25% increased rebates. </t>
  </si>
  <si>
    <t>A Total Duct Leakage Test should be performed both before and after sealing</t>
  </si>
  <si>
    <t>Pre CFM(75):</t>
  </si>
  <si>
    <t>Post CFM(75):</t>
  </si>
  <si>
    <t>Total Rebate:</t>
  </si>
  <si>
    <t>12.17.24</t>
  </si>
  <si>
    <t>Customer Information: Updated DAC link to work in multiple cells</t>
  </si>
  <si>
    <t>Worksheet: Updated preformed to performed</t>
  </si>
  <si>
    <t>Worksheet: Added "()" to CFM75</t>
  </si>
  <si>
    <t>Worksheet: added in total rebate cell at bottom</t>
  </si>
  <si>
    <t>V1_D</t>
  </si>
  <si>
    <t>Assembly Max. SHGC*</t>
  </si>
  <si>
    <t>*Solar Heat Gain Coefficient</t>
  </si>
  <si>
    <t>Insulation Eligibilty: Added in acronym for SHGC</t>
  </si>
  <si>
    <t>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</si>
</sst>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6" formatCode="&quot;$&quot;#,##0_);[Red]\(&quot;$&quot;#,##0\)"/>
    <numFmt numFmtId="8" formatCode="&quot;$&quot;#,##0.00_);[Red]\(&quot;$&quot;#,##0.00\)"/>
    <numFmt numFmtId="44" formatCode="_(&quot;$&quot;* #,##0.00_);_(&quot;$&quot;* \(#,##0.00\);_(&quot;$&quot;* &quot;-&quot;??_);_(@_)"/>
    <numFmt numFmtId="43" formatCode="_(* #,##0.00_);_(* \(#,##0.00\);_(* &quot;-&quot;??_);_(@_)"/>
    <numFmt numFmtId="164" formatCode="00000"/>
    <numFmt numFmtId="165" formatCode="[&lt;=9999999]###\-####;\(###\)\ ###\-####"/>
    <numFmt numFmtId="166" formatCode="_(&quot;$&quot;* #,##0_);_(&quot;$&quot;* \(#,##0\);_(&quot;$&quot;* &quot;-&quot;??_);_(@_)"/>
    <numFmt numFmtId="167" formatCode="&quot;$&quot;#,##0"/>
    <numFmt numFmtId="168" formatCode="_(* #,##0.0_);_(* \(#,##0.0\);_(* &quot;-&quot;??_);_(@_)"/>
    <numFmt numFmtId="169" formatCode="_(* #,##0_);_(* \(#,##0\);_(* &quot;-&quot;??_);_(@_)"/>
    <numFmt numFmtId="170" formatCode="0.0"/>
    <numFmt numFmtId="171" formatCode="_(* #,##0.000_);_(* \(#,##0.000\);_(* &quot;-&quot;??_);_(@_)"/>
    <numFmt numFmtId="172" formatCode="0.000"/>
    <numFmt numFmtId="173" formatCode="[$-409]mmmm\ d\,\ yyyy;@"/>
    <numFmt numFmtId="174" formatCode="0.0000000"/>
    <numFmt numFmtId="175" formatCode="0.0000000_);\(0.0000000\)"/>
    <numFmt numFmtId="176" formatCode="0.00000_);\(0.00000\)"/>
    <numFmt numFmtId="177" formatCode="#,##0.000"/>
    <numFmt numFmtId="178" formatCode="[$-409]m/d/yy\ h:mm\ AM/PM;@"/>
    <numFmt numFmtId="179" formatCode="[$-409]d\-mmm\-yy;@"/>
    <numFmt numFmtId="180" formatCode="#,##0.0"/>
    <numFmt numFmtId="181" formatCode="0.0%"/>
    <numFmt numFmtId="182" formatCode="0.0000"/>
    <numFmt numFmtId="183" formatCode="_(* #,##0.0000_);_(* \(#,##0.0000\);_(* &quot;-&quot;??_);_(@_)"/>
    <numFmt numFmtId="184" formatCode="&quot;$&quot;#,##0.00"/>
  </numFmts>
  <fonts count="212">
    <font>
      <sz val="11"/>
      <color theme="1"/>
      <name val="Calibri"/>
      <family val="2"/>
      <scheme val="minor"/>
    </font>
    <font>
      <sz val="11"/>
      <color indexed="8"/>
      <name val="Calibri"/>
      <family val="2"/>
    </font>
    <font>
      <sz val="11"/>
      <name val="Arial Narrow"/>
      <family val="2"/>
    </font>
    <font>
      <sz val="9"/>
      <name val="Arial Narrow"/>
      <family val="2"/>
    </font>
    <font>
      <sz val="10"/>
      <name val="Arial Narrow"/>
      <family val="2"/>
    </font>
    <font>
      <i/>
      <sz val="11"/>
      <name val="Arial Narrow"/>
      <family val="2"/>
    </font>
    <font>
      <i/>
      <sz val="10"/>
      <name val="Arial Narrow"/>
      <family val="2"/>
    </font>
    <font>
      <sz val="14"/>
      <name val="Times New Roman"/>
      <family val="1"/>
    </font>
    <font>
      <b/>
      <sz val="18"/>
      <name val="Arial Narrow"/>
      <family val="2"/>
    </font>
    <font>
      <b/>
      <sz val="24"/>
      <name val="Arial Narrow"/>
      <family val="2"/>
    </font>
    <font>
      <sz val="11"/>
      <color indexed="8"/>
      <name val="Arial Narrow"/>
      <family val="2"/>
    </font>
    <font>
      <b/>
      <i/>
      <sz val="11"/>
      <name val="Arial Narrow"/>
      <family val="2"/>
    </font>
    <font>
      <sz val="10"/>
      <name val="Arial"/>
      <family val="2"/>
    </font>
    <font>
      <sz val="11"/>
      <color indexed="8"/>
      <name val="Calibri"/>
      <family val="2"/>
    </font>
    <font>
      <sz val="10"/>
      <color indexed="8"/>
      <name val="Arial"/>
      <family val="2"/>
    </font>
    <font>
      <i/>
      <sz val="18"/>
      <name val="Times New Roman"/>
      <family val="1"/>
    </font>
    <font>
      <i/>
      <sz val="12"/>
      <name val="Times New Roman"/>
      <family val="1"/>
    </font>
    <font>
      <b/>
      <sz val="11"/>
      <name val="Arial Narrow"/>
      <family val="2"/>
    </font>
    <font>
      <b/>
      <sz val="24"/>
      <name val="Times New Roman"/>
      <family val="1"/>
    </font>
    <font>
      <b/>
      <sz val="11"/>
      <color indexed="9"/>
      <name val="Calibri"/>
      <family val="2"/>
    </font>
    <font>
      <i/>
      <sz val="24"/>
      <name val="Times New Roman"/>
      <family val="1"/>
    </font>
    <font>
      <b/>
      <sz val="22"/>
      <name val="Arial Narrow"/>
      <family val="2"/>
    </font>
    <font>
      <b/>
      <sz val="7"/>
      <name val="Arial Narrow"/>
      <family val="2"/>
    </font>
    <font>
      <sz val="7"/>
      <name val="Arial Narrow"/>
      <family val="2"/>
    </font>
    <font>
      <sz val="6"/>
      <name val="Arial Narrow"/>
      <family val="2"/>
    </font>
    <font>
      <b/>
      <sz val="11"/>
      <name val="Times New Roman"/>
      <family val="1"/>
    </font>
    <font>
      <sz val="16"/>
      <name val="Times New Roman"/>
      <family val="1"/>
    </font>
    <font>
      <sz val="12"/>
      <color indexed="8"/>
      <name val="Arial Narrow"/>
      <family val="2"/>
    </font>
    <font>
      <sz val="9"/>
      <color indexed="8"/>
      <name val="Arial Narrow"/>
      <family val="2"/>
    </font>
    <font>
      <b/>
      <sz val="12"/>
      <name val="Arial Narrow"/>
      <family val="2"/>
    </font>
    <font>
      <b/>
      <sz val="10"/>
      <color indexed="8"/>
      <name val="Arial Narrow"/>
      <family val="2"/>
    </font>
    <font>
      <b/>
      <sz val="10"/>
      <color indexed="9"/>
      <name val="Arial Narrow"/>
      <family val="2"/>
    </font>
    <font>
      <b/>
      <sz val="9"/>
      <color indexed="8"/>
      <name val="Arial Narrow"/>
      <family val="2"/>
    </font>
    <font>
      <i/>
      <sz val="17"/>
      <name val="Times New Roman"/>
      <family val="1"/>
    </font>
    <font>
      <b/>
      <i/>
      <sz val="10"/>
      <color indexed="8"/>
      <name val="Arial Narrow"/>
      <family val="2"/>
    </font>
    <font>
      <b/>
      <sz val="22"/>
      <name val="Times New Roman"/>
      <family val="1"/>
    </font>
    <font>
      <sz val="14"/>
      <name val="Arial Narrow"/>
      <family val="2"/>
    </font>
    <font>
      <sz val="9"/>
      <color indexed="81"/>
      <name val="Tahoma"/>
      <family val="2"/>
    </font>
    <font>
      <b/>
      <sz val="9"/>
      <color indexed="81"/>
      <name val="Tahoma"/>
      <family val="2"/>
    </font>
    <font>
      <i/>
      <sz val="10"/>
      <color indexed="8"/>
      <name val="Arial Narrow"/>
      <family val="2"/>
    </font>
    <font>
      <u/>
      <sz val="12"/>
      <color indexed="8"/>
      <name val="Arial Narrow"/>
      <family val="2"/>
    </font>
    <font>
      <b/>
      <sz val="10"/>
      <name val="Arial Narrow"/>
      <family val="2"/>
    </font>
    <font>
      <i/>
      <sz val="11"/>
      <name val="Times New Roman"/>
      <family val="1"/>
    </font>
    <font>
      <i/>
      <sz val="17"/>
      <name val="Arial Narrow"/>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u/>
      <sz val="11"/>
      <color theme="10"/>
      <name val="Calibri"/>
      <family val="2"/>
      <scheme val="minor"/>
    </font>
    <font>
      <u/>
      <sz val="14.3"/>
      <color theme="10"/>
      <name val="Calibri"/>
      <family val="2"/>
    </font>
    <font>
      <b/>
      <sz val="11"/>
      <color theme="1"/>
      <name val="Calibri"/>
      <family val="2"/>
      <scheme val="minor"/>
    </font>
    <font>
      <sz val="11"/>
      <color rgb="FFFF0000"/>
      <name val="Calibri"/>
      <family val="2"/>
      <scheme val="minor"/>
    </font>
    <font>
      <sz val="11"/>
      <color theme="1"/>
      <name val="Arial Narrow"/>
      <family val="2"/>
    </font>
    <font>
      <i/>
      <sz val="10"/>
      <color theme="1"/>
      <name val="Calibri"/>
      <family val="2"/>
      <scheme val="minor"/>
    </font>
    <font>
      <i/>
      <sz val="18"/>
      <color rgb="FFF85208"/>
      <name val="Times New Roman"/>
      <family val="1"/>
    </font>
    <font>
      <i/>
      <sz val="18"/>
      <color theme="0"/>
      <name val="Times New Roman"/>
      <family val="1"/>
    </font>
    <font>
      <b/>
      <sz val="48"/>
      <color theme="0"/>
      <name val="Times New Roman"/>
      <family val="1"/>
    </font>
    <font>
      <i/>
      <sz val="24"/>
      <color theme="0"/>
      <name val="Times New Roman"/>
      <family val="1"/>
    </font>
    <font>
      <b/>
      <sz val="24"/>
      <color theme="0"/>
      <name val="Times New Roman"/>
      <family val="1"/>
    </font>
    <font>
      <b/>
      <sz val="11"/>
      <color theme="0"/>
      <name val="Arial Narrow"/>
      <family val="2"/>
    </font>
    <font>
      <sz val="11"/>
      <name val="Calibri"/>
      <family val="2"/>
      <scheme val="minor"/>
    </font>
    <font>
      <b/>
      <sz val="11"/>
      <color theme="1"/>
      <name val="Arial Narrow"/>
      <family val="2"/>
    </font>
    <font>
      <b/>
      <sz val="10"/>
      <color theme="1"/>
      <name val="Arial Narrow"/>
      <family val="2"/>
    </font>
    <font>
      <b/>
      <sz val="9"/>
      <color theme="1"/>
      <name val="Arial Narrow"/>
      <family val="2"/>
    </font>
    <font>
      <sz val="9"/>
      <color theme="1"/>
      <name val="Arial Narrow"/>
      <family val="2"/>
    </font>
    <font>
      <i/>
      <sz val="11"/>
      <color rgb="FFFF0000"/>
      <name val="Calibri"/>
      <family val="2"/>
      <scheme val="minor"/>
    </font>
    <font>
      <b/>
      <u/>
      <sz val="11"/>
      <color theme="1"/>
      <name val="Calibri"/>
      <family val="2"/>
      <scheme val="minor"/>
    </font>
    <font>
      <sz val="11"/>
      <color theme="1"/>
      <name val="Calibri"/>
      <family val="2"/>
    </font>
    <font>
      <sz val="8"/>
      <color theme="1"/>
      <name val="Arial Narrow"/>
      <family val="2"/>
    </font>
    <font>
      <sz val="14"/>
      <color theme="1"/>
      <name val="Calibri"/>
      <family val="2"/>
      <scheme val="minor"/>
    </font>
    <font>
      <sz val="14"/>
      <color theme="1"/>
      <name val="Arial Narrow"/>
      <family val="2"/>
    </font>
    <font>
      <b/>
      <sz val="18"/>
      <color rgb="FF0070C0"/>
      <name val="Calibri"/>
      <family val="2"/>
      <scheme val="minor"/>
    </font>
    <font>
      <sz val="11"/>
      <color rgb="FFF85208"/>
      <name val="Calibri"/>
      <family val="2"/>
      <scheme val="minor"/>
    </font>
    <font>
      <i/>
      <sz val="10"/>
      <color theme="1"/>
      <name val="Arial Narrow"/>
      <family val="2"/>
    </font>
    <font>
      <sz val="11"/>
      <color theme="0"/>
      <name val="Arial Narrow"/>
      <family val="2"/>
    </font>
    <font>
      <i/>
      <sz val="14"/>
      <color theme="1"/>
      <name val="Times New Roman"/>
      <family val="1"/>
    </font>
    <font>
      <sz val="12"/>
      <color theme="1"/>
      <name val="Arial Narrow"/>
      <family val="2"/>
    </font>
    <font>
      <sz val="14"/>
      <color theme="1"/>
      <name val="Calibri"/>
      <family val="2"/>
    </font>
    <font>
      <b/>
      <sz val="11"/>
      <name val="Calibri"/>
      <family val="2"/>
      <scheme val="minor"/>
    </font>
    <font>
      <i/>
      <sz val="11"/>
      <color theme="1"/>
      <name val="Calibri"/>
      <family val="2"/>
      <scheme val="minor"/>
    </font>
    <font>
      <b/>
      <sz val="14"/>
      <color theme="1"/>
      <name val="Calibri"/>
      <family val="2"/>
      <scheme val="minor"/>
    </font>
    <font>
      <sz val="10"/>
      <color theme="1"/>
      <name val="Calibri"/>
      <family val="2"/>
      <scheme val="minor"/>
    </font>
    <font>
      <b/>
      <sz val="11"/>
      <color rgb="FFFF0000"/>
      <name val="Arial Narrow"/>
      <family val="2"/>
    </font>
    <font>
      <b/>
      <sz val="14"/>
      <color rgb="FFF85208"/>
      <name val="Arial Narrow"/>
      <family val="2"/>
    </font>
    <font>
      <i/>
      <sz val="11"/>
      <color theme="1"/>
      <name val="Arial Narrow"/>
      <family val="2"/>
    </font>
    <font>
      <i/>
      <sz val="9"/>
      <color theme="1"/>
      <name val="Arial Narrow"/>
      <family val="2"/>
    </font>
    <font>
      <sz val="22"/>
      <color theme="1"/>
      <name val="Arial Narrow"/>
      <family val="2"/>
    </font>
    <font>
      <i/>
      <sz val="18"/>
      <color theme="0"/>
      <name val="Arial Narrow"/>
      <family val="2"/>
    </font>
    <font>
      <i/>
      <sz val="18"/>
      <color theme="1"/>
      <name val="Arial Narrow"/>
      <family val="2"/>
    </font>
    <font>
      <b/>
      <sz val="14"/>
      <color rgb="FF0054CC"/>
      <name val="Arial Narrow"/>
      <family val="2"/>
    </font>
    <font>
      <i/>
      <sz val="12"/>
      <color theme="1"/>
      <name val="Arial Narrow"/>
      <family val="2"/>
    </font>
    <font>
      <i/>
      <sz val="16"/>
      <color rgb="FFF85208"/>
      <name val="Arial Narrow"/>
      <family val="2"/>
    </font>
    <font>
      <i/>
      <sz val="12"/>
      <color theme="1"/>
      <name val="Calibri"/>
      <family val="2"/>
      <scheme val="minor"/>
    </font>
    <font>
      <sz val="6"/>
      <color theme="1"/>
      <name val="Arial Narrow"/>
      <family val="2"/>
    </font>
    <font>
      <sz val="10"/>
      <color theme="1"/>
      <name val="Arial Narrow"/>
      <family val="2"/>
    </font>
    <font>
      <b/>
      <sz val="12"/>
      <color theme="1"/>
      <name val="Arial Narrow"/>
      <family val="2"/>
    </font>
    <font>
      <b/>
      <i/>
      <sz val="11"/>
      <color theme="1"/>
      <name val="Arial Narrow"/>
      <family val="2"/>
    </font>
    <font>
      <b/>
      <sz val="14"/>
      <color theme="0"/>
      <name val="Arial Narrow"/>
      <family val="2"/>
    </font>
    <font>
      <b/>
      <sz val="12"/>
      <color theme="0"/>
      <name val="Arial Narrow"/>
      <family val="2"/>
    </font>
    <font>
      <b/>
      <strike/>
      <sz val="10"/>
      <color rgb="FFFF0000"/>
      <name val="Arial Narrow"/>
      <family val="2"/>
    </font>
    <font>
      <b/>
      <sz val="24"/>
      <color rgb="FF002060"/>
      <name val="Calibri"/>
      <family val="2"/>
      <scheme val="minor"/>
    </font>
    <font>
      <sz val="8"/>
      <color rgb="FF000000"/>
      <name val="Segoe UI"/>
      <family val="2"/>
    </font>
    <font>
      <sz val="8"/>
      <color rgb="FF000000"/>
      <name val="Tahoma"/>
      <family val="2"/>
    </font>
    <font>
      <b/>
      <sz val="24"/>
      <color theme="1"/>
      <name val="Times New Roman"/>
      <family val="1"/>
    </font>
    <font>
      <i/>
      <sz val="18"/>
      <color theme="1"/>
      <name val="Times New Roman"/>
      <family val="1"/>
    </font>
    <font>
      <sz val="11"/>
      <color theme="0" tint="-0.249977111117893"/>
      <name val="Calibri"/>
      <family val="2"/>
      <scheme val="minor"/>
    </font>
    <font>
      <i/>
      <sz val="14"/>
      <name val="Times New Roman"/>
      <family val="1"/>
    </font>
    <font>
      <b/>
      <sz val="20"/>
      <color theme="0"/>
      <name val="Calibri"/>
      <family val="2"/>
      <scheme val="minor"/>
    </font>
    <font>
      <sz val="11"/>
      <color rgb="FF002060"/>
      <name val="Calibri"/>
      <family val="2"/>
      <scheme val="minor"/>
    </font>
    <font>
      <sz val="11"/>
      <color rgb="FF002060"/>
      <name val="Arial Narrow"/>
      <family val="2"/>
    </font>
    <font>
      <b/>
      <sz val="14"/>
      <color theme="0"/>
      <name val="Calibri"/>
      <family val="2"/>
      <scheme val="minor"/>
    </font>
    <font>
      <sz val="14"/>
      <color theme="0"/>
      <name val="Calibri"/>
      <family val="2"/>
      <scheme val="minor"/>
    </font>
    <font>
      <i/>
      <sz val="18"/>
      <color rgb="FFF85208"/>
      <name val="Calibri"/>
      <family val="2"/>
      <scheme val="minor"/>
    </font>
    <font>
      <i/>
      <sz val="18"/>
      <color rgb="FFF85208"/>
      <name val="Arial"/>
      <family val="2"/>
    </font>
    <font>
      <i/>
      <sz val="18"/>
      <color rgb="FFF85208"/>
      <name val="Airla"/>
    </font>
    <font>
      <i/>
      <sz val="14"/>
      <name val="Calibri"/>
      <family val="2"/>
      <scheme val="minor"/>
    </font>
    <font>
      <i/>
      <sz val="18"/>
      <color rgb="FFF85208"/>
      <name val="Aial"/>
    </font>
    <font>
      <i/>
      <sz val="12"/>
      <name val="Arial Narrow"/>
      <family val="2"/>
    </font>
    <font>
      <i/>
      <sz val="10"/>
      <color theme="1" tint="0.34998626667073579"/>
      <name val="Arial Narrow"/>
      <family val="2"/>
    </font>
    <font>
      <u/>
      <sz val="11"/>
      <color theme="1"/>
      <name val="Arial Narrow"/>
      <family val="2"/>
    </font>
    <font>
      <sz val="11"/>
      <color rgb="FFFF0000"/>
      <name val="Arial Narrow"/>
      <family val="2"/>
    </font>
    <font>
      <i/>
      <sz val="11"/>
      <color rgb="FFFF0000"/>
      <name val="Arial Narrow"/>
      <family val="2"/>
    </font>
    <font>
      <i/>
      <sz val="9"/>
      <color theme="9" tint="-0.249977111117893"/>
      <name val="Calibri"/>
      <family val="2"/>
      <scheme val="minor"/>
    </font>
    <font>
      <b/>
      <sz val="18"/>
      <name val="Times New Roman"/>
      <family val="1"/>
    </font>
    <font>
      <b/>
      <sz val="18"/>
      <color theme="0"/>
      <name val="Times New Roman"/>
      <family val="1"/>
    </font>
    <font>
      <sz val="12"/>
      <name val="Times New Roman"/>
      <family val="1"/>
    </font>
    <font>
      <sz val="11"/>
      <color theme="1"/>
      <name val="Times New Roman"/>
      <family val="1"/>
    </font>
    <font>
      <b/>
      <sz val="12"/>
      <color rgb="FFF85208"/>
      <name val="Arial Narrow"/>
      <family val="2"/>
    </font>
    <font>
      <i/>
      <sz val="11"/>
      <color theme="0"/>
      <name val="Calibri"/>
      <family val="2"/>
      <scheme val="minor"/>
    </font>
    <font>
      <i/>
      <vertAlign val="superscript"/>
      <sz val="14"/>
      <color theme="0"/>
      <name val="Calibri"/>
      <family val="2"/>
      <scheme val="minor"/>
    </font>
    <font>
      <vertAlign val="subscript"/>
      <sz val="10"/>
      <color theme="1"/>
      <name val="Arial Narrow"/>
      <family val="2"/>
    </font>
    <font>
      <b/>
      <sz val="12"/>
      <color theme="1"/>
      <name val="Times New Roman"/>
      <family val="1"/>
    </font>
    <font>
      <b/>
      <sz val="10"/>
      <name val="Times New Roman"/>
      <family val="1"/>
    </font>
    <font>
      <b/>
      <i/>
      <sz val="12"/>
      <name val="Arial Narrow"/>
      <family val="2"/>
    </font>
    <font>
      <i/>
      <sz val="12"/>
      <name val="Calibri"/>
      <family val="2"/>
      <scheme val="minor"/>
    </font>
    <font>
      <sz val="12"/>
      <color theme="1"/>
      <name val="Calibri"/>
      <family val="2"/>
      <scheme val="minor"/>
    </font>
    <font>
      <u/>
      <sz val="11"/>
      <color theme="10"/>
      <name val="Arial Narrow"/>
      <family val="2"/>
    </font>
    <font>
      <sz val="8"/>
      <name val="Calibri"/>
      <family val="2"/>
      <scheme val="minor"/>
    </font>
    <font>
      <b/>
      <i/>
      <sz val="11"/>
      <color rgb="FFFF0000"/>
      <name val="Calibri"/>
      <family val="2"/>
      <scheme val="minor"/>
    </font>
    <font>
      <b/>
      <sz val="11"/>
      <color rgb="FFF85208"/>
      <name val="Calibri"/>
      <family val="2"/>
      <scheme val="minor"/>
    </font>
    <font>
      <i/>
      <sz val="10"/>
      <name val="Times New Roman"/>
      <family val="1"/>
    </font>
    <font>
      <b/>
      <sz val="8"/>
      <color indexed="8"/>
      <name val="Arial Narrow"/>
      <family val="2"/>
    </font>
    <font>
      <b/>
      <vertAlign val="superscript"/>
      <sz val="8"/>
      <color indexed="8"/>
      <name val="Arial Narrow"/>
      <family val="2"/>
    </font>
    <font>
      <b/>
      <sz val="11"/>
      <color indexed="8"/>
      <name val="Arial Narrow"/>
      <family val="2"/>
    </font>
    <font>
      <b/>
      <sz val="16"/>
      <color theme="0"/>
      <name val="Times New Roman"/>
      <family val="1"/>
    </font>
    <font>
      <i/>
      <sz val="14"/>
      <color theme="0"/>
      <name val="Times New Roman"/>
      <family val="1"/>
    </font>
    <font>
      <i/>
      <sz val="17"/>
      <color theme="0"/>
      <name val="Times New Roman"/>
      <family val="1"/>
    </font>
    <font>
      <b/>
      <sz val="28"/>
      <color theme="0"/>
      <name val="Times New Roman"/>
      <family val="1"/>
    </font>
    <font>
      <b/>
      <sz val="16"/>
      <name val="Times New Roman"/>
      <family val="1"/>
    </font>
    <font>
      <b/>
      <sz val="7"/>
      <color rgb="FFF85208"/>
      <name val="Arial Narrow"/>
      <family val="2"/>
    </font>
    <font>
      <sz val="7"/>
      <color rgb="FFF85208"/>
      <name val="Arial Narrow"/>
      <family val="2"/>
    </font>
    <font>
      <sz val="7"/>
      <color theme="1"/>
      <name val="Arial Narrow"/>
      <family val="2"/>
    </font>
    <font>
      <i/>
      <sz val="7"/>
      <color theme="1"/>
      <name val="Arial Narrow"/>
      <family val="2"/>
    </font>
    <font>
      <b/>
      <sz val="18"/>
      <color rgb="FF0070C0"/>
      <name val="Arial Narrow"/>
      <family val="2"/>
    </font>
    <font>
      <sz val="12"/>
      <name val="Arial Narrow"/>
      <family val="2"/>
    </font>
    <font>
      <sz val="12"/>
      <name val="Calibri"/>
      <family val="2"/>
      <scheme val="minor"/>
    </font>
    <font>
      <b/>
      <sz val="12"/>
      <color rgb="FFFF0000"/>
      <name val="Calibri"/>
      <family val="2"/>
      <scheme val="minor"/>
    </font>
    <font>
      <b/>
      <sz val="26"/>
      <color theme="0"/>
      <name val="Times New Roman"/>
      <family val="1"/>
    </font>
    <font>
      <b/>
      <sz val="22"/>
      <color theme="0"/>
      <name val="Times New Roman"/>
      <family val="1"/>
    </font>
    <font>
      <b/>
      <sz val="24"/>
      <color theme="0"/>
      <name val="Arial Narrow"/>
      <family val="2"/>
    </font>
    <font>
      <b/>
      <sz val="18"/>
      <color theme="0"/>
      <name val="Arial Narrow"/>
      <family val="2"/>
    </font>
    <font>
      <sz val="10"/>
      <color theme="0"/>
      <name val="Arial Narrow"/>
      <family val="2"/>
    </font>
    <font>
      <i/>
      <sz val="10"/>
      <color theme="0"/>
      <name val="Arial Narrow"/>
      <family val="2"/>
    </font>
    <font>
      <u/>
      <sz val="11"/>
      <color theme="0"/>
      <name val="Arial Narrow"/>
      <family val="2"/>
    </font>
    <font>
      <i/>
      <sz val="11"/>
      <color theme="0"/>
      <name val="Arial Narrow"/>
      <family val="2"/>
    </font>
    <font>
      <u/>
      <sz val="11"/>
      <color theme="0"/>
      <name val="Calibri"/>
      <family val="2"/>
      <scheme val="minor"/>
    </font>
    <font>
      <i/>
      <sz val="22"/>
      <color theme="0"/>
      <name val="Times New Roman"/>
      <family val="1"/>
    </font>
    <font>
      <sz val="10"/>
      <color theme="1"/>
      <name val="Arial"/>
      <family val="2"/>
    </font>
    <font>
      <b/>
      <sz val="14"/>
      <color theme="1"/>
      <name val="Arial Narrow"/>
      <family val="2"/>
    </font>
    <font>
      <b/>
      <sz val="14"/>
      <name val="Arial Narrow"/>
      <family val="2"/>
    </font>
    <font>
      <b/>
      <u/>
      <sz val="11"/>
      <name val="Arial Narrow"/>
      <family val="2"/>
    </font>
    <font>
      <b/>
      <u/>
      <sz val="12"/>
      <name val="Arial Narrow"/>
      <family val="2"/>
    </font>
    <font>
      <b/>
      <u/>
      <sz val="14"/>
      <color theme="1"/>
      <name val="Arial Narrow"/>
      <family val="2"/>
    </font>
    <font>
      <b/>
      <i/>
      <sz val="10"/>
      <color rgb="FFF85208"/>
      <name val="Calibri"/>
      <family val="2"/>
      <scheme val="minor"/>
    </font>
    <font>
      <sz val="9"/>
      <color rgb="FFFF0000"/>
      <name val="Calibri"/>
      <family val="2"/>
      <scheme val="minor"/>
    </font>
    <font>
      <sz val="16"/>
      <color theme="1"/>
      <name val="Arial Narrow"/>
      <family val="2"/>
    </font>
    <font>
      <b/>
      <sz val="12"/>
      <color theme="0"/>
      <name val="Calibri"/>
      <family val="2"/>
      <scheme val="minor"/>
    </font>
    <font>
      <b/>
      <sz val="10"/>
      <color indexed="9"/>
      <name val="Calibri"/>
      <family val="2"/>
      <scheme val="minor"/>
    </font>
    <font>
      <b/>
      <sz val="10"/>
      <color theme="0"/>
      <name val="Calibri"/>
      <family val="2"/>
      <scheme val="minor"/>
    </font>
    <font>
      <sz val="10"/>
      <name val="Calibri"/>
      <family val="2"/>
      <scheme val="minor"/>
    </font>
    <font>
      <b/>
      <sz val="11"/>
      <color theme="0"/>
      <name val="Corbel"/>
      <family val="2"/>
    </font>
    <font>
      <sz val="11"/>
      <color theme="1"/>
      <name val="Corbel"/>
      <family val="2"/>
    </font>
    <font>
      <b/>
      <sz val="11"/>
      <color rgb="FFFFFFFF"/>
      <name val="Corbel"/>
      <family val="2"/>
    </font>
    <font>
      <sz val="10"/>
      <color rgb="FF000000"/>
      <name val="Corbel"/>
      <family val="2"/>
    </font>
    <font>
      <b/>
      <sz val="10"/>
      <color rgb="FFFF0000"/>
      <name val="Corbel"/>
      <family val="2"/>
    </font>
    <font>
      <sz val="11"/>
      <color rgb="FF000000"/>
      <name val="Corbel"/>
      <family val="2"/>
    </font>
    <font>
      <b/>
      <sz val="11"/>
      <color rgb="FFFF0000"/>
      <name val="Corbel"/>
      <family val="2"/>
    </font>
    <font>
      <vertAlign val="subscript"/>
      <sz val="11"/>
      <color theme="1"/>
      <name val="Corbel"/>
      <family val="2"/>
    </font>
    <font>
      <b/>
      <sz val="11"/>
      <color theme="1"/>
      <name val="Corbel"/>
      <family val="2"/>
    </font>
    <font>
      <i/>
      <sz val="11"/>
      <color theme="1"/>
      <name val="Corbel"/>
      <family val="2"/>
    </font>
    <font>
      <b/>
      <i/>
      <sz val="11"/>
      <color theme="1"/>
      <name val="Corbel"/>
      <family val="2"/>
    </font>
    <font>
      <sz val="11"/>
      <name val="Corbel"/>
      <family val="2"/>
    </font>
    <font>
      <b/>
      <sz val="11"/>
      <name val="Corbel"/>
      <family val="2"/>
    </font>
    <font>
      <vertAlign val="subscript"/>
      <sz val="11"/>
      <name val="Corbel"/>
      <family val="2"/>
    </font>
    <font>
      <sz val="11"/>
      <name val="Calibri"/>
      <family val="2"/>
    </font>
    <font>
      <vertAlign val="subscript"/>
      <sz val="11"/>
      <name val="Calibri"/>
      <family val="2"/>
    </font>
    <font>
      <sz val="9.9"/>
      <name val="Calibri"/>
      <family val="2"/>
    </font>
    <font>
      <vertAlign val="superscript"/>
      <sz val="11"/>
      <name val="Corbel"/>
      <family val="2"/>
    </font>
    <font>
      <vertAlign val="superscript"/>
      <sz val="11"/>
      <color theme="1"/>
      <name val="Corbel"/>
      <family val="2"/>
    </font>
    <font>
      <vertAlign val="subscript"/>
      <sz val="11"/>
      <color rgb="FF080808"/>
      <name val="Corbel"/>
      <family val="2"/>
    </font>
    <font>
      <sz val="11"/>
      <color rgb="FF080808"/>
      <name val="Corbel"/>
      <family val="2"/>
    </font>
    <font>
      <b/>
      <vertAlign val="subscript"/>
      <sz val="11"/>
      <color theme="0"/>
      <name val="Corbel"/>
      <family val="2"/>
    </font>
    <font>
      <b/>
      <u/>
      <sz val="11"/>
      <name val="Corbel"/>
      <family val="2"/>
    </font>
    <font>
      <b/>
      <u/>
      <sz val="10"/>
      <color theme="1"/>
      <name val="Arial"/>
      <family val="2"/>
    </font>
    <font>
      <b/>
      <u/>
      <sz val="11"/>
      <color theme="1"/>
      <name val="Corbel"/>
      <family val="2"/>
    </font>
    <font>
      <u/>
      <sz val="10"/>
      <color theme="1"/>
      <name val="Arial"/>
      <family val="2"/>
    </font>
    <font>
      <vertAlign val="subscript"/>
      <sz val="12"/>
      <color theme="1"/>
      <name val="Franklin Gothic Book"/>
      <family val="2"/>
    </font>
    <font>
      <vertAlign val="subscript"/>
      <sz val="10"/>
      <color theme="1"/>
      <name val="Calibri"/>
      <family val="2"/>
      <scheme val="minor"/>
    </font>
    <font>
      <vertAlign val="subscript"/>
      <sz val="13.2"/>
      <color theme="1"/>
      <name val="Corbel"/>
      <family val="2"/>
    </font>
    <font>
      <sz val="10"/>
      <color rgb="FFFF0000"/>
      <name val="Arial"/>
      <family val="2"/>
    </font>
    <font>
      <vertAlign val="subscript"/>
      <sz val="11"/>
      <color theme="1"/>
      <name val="Calibri"/>
      <family val="2"/>
    </font>
    <font>
      <b/>
      <i/>
      <sz val="10"/>
      <name val="Arial Narrow"/>
      <family val="2"/>
    </font>
  </fonts>
  <fills count="40">
    <fill>
      <patternFill patternType="none"/>
    </fill>
    <fill>
      <patternFill patternType="gray125"/>
    </fill>
    <fill>
      <patternFill patternType="solid">
        <fgColor rgb="FFF2F2F2"/>
      </patternFill>
    </fill>
    <fill>
      <patternFill patternType="solid">
        <fgColor rgb="FFF85208"/>
        <bgColor indexed="64"/>
      </patternFill>
    </fill>
    <fill>
      <gradientFill>
        <stop position="0">
          <color rgb="FF6A5B4E"/>
        </stop>
        <stop position="1">
          <color theme="0"/>
        </stop>
      </gradientFill>
    </fill>
    <fill>
      <patternFill patternType="solid">
        <fgColor theme="0" tint="-0.14999847407452621"/>
        <bgColor indexed="64"/>
      </patternFill>
    </fill>
    <fill>
      <patternFill patternType="solid">
        <fgColor rgb="FF6A5B4E"/>
        <bgColor indexed="64"/>
      </patternFill>
    </fill>
    <fill>
      <patternFill patternType="solid">
        <fgColor rgb="FFFFFFC9"/>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theme="9"/>
        <bgColor indexed="64"/>
      </patternFill>
    </fill>
    <fill>
      <patternFill patternType="solid">
        <fgColor rgb="FFFFC000"/>
        <bgColor indexed="64"/>
      </patternFill>
    </fill>
    <fill>
      <patternFill patternType="solid">
        <fgColor theme="6"/>
        <bgColor indexed="64"/>
      </patternFill>
    </fill>
    <fill>
      <patternFill patternType="solid">
        <fgColor rgb="FF0070C0"/>
        <bgColor indexed="64"/>
      </patternFill>
    </fill>
    <fill>
      <patternFill patternType="solid">
        <fgColor rgb="FFFF3399"/>
        <bgColor indexed="64"/>
      </patternFill>
    </fill>
    <fill>
      <patternFill patternType="solid">
        <fgColor rgb="FF7030A0"/>
        <bgColor indexed="64"/>
      </patternFill>
    </fill>
    <fill>
      <patternFill patternType="solid">
        <fgColor rgb="FF92D050"/>
        <bgColor indexed="64"/>
      </patternFill>
    </fill>
    <fill>
      <patternFill patternType="solid">
        <fgColor rgb="FFCC0000"/>
        <bgColor indexed="64"/>
      </patternFill>
    </fill>
    <fill>
      <patternFill patternType="solid">
        <fgColor rgb="FFFF3300"/>
        <bgColor indexed="64"/>
      </patternFill>
    </fill>
    <fill>
      <patternFill patternType="solid">
        <fgColor theme="5" tint="-0.249977111117893"/>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2"/>
        <bgColor indexed="64"/>
      </patternFill>
    </fill>
    <fill>
      <patternFill patternType="solid">
        <fgColor rgb="FF063F6E"/>
        <bgColor indexed="64"/>
      </patternFill>
    </fill>
    <fill>
      <patternFill patternType="solid">
        <fgColor rgb="FF063F6E"/>
        <bgColor auto="1"/>
      </patternFill>
    </fill>
    <fill>
      <patternFill patternType="solid">
        <fgColor theme="1" tint="0.34998626667073579"/>
        <bgColor indexed="64"/>
      </patternFill>
    </fill>
    <fill>
      <patternFill patternType="solid">
        <fgColor theme="0" tint="-0.34998626667073579"/>
        <bgColor indexed="64"/>
      </patternFill>
    </fill>
    <fill>
      <patternFill patternType="solid">
        <fgColor rgb="FF142C41"/>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5"/>
        <bgColor indexed="64"/>
      </patternFill>
    </fill>
    <fill>
      <patternFill patternType="solid">
        <fgColor theme="9" tint="-0.249977111117893"/>
        <bgColor indexed="64"/>
      </patternFill>
    </fill>
    <fill>
      <patternFill patternType="solid">
        <fgColor rgb="FF00B050"/>
        <bgColor indexed="64"/>
      </patternFill>
    </fill>
    <fill>
      <patternFill patternType="solid">
        <fgColor rgb="FF00B0F0"/>
        <bgColor indexed="64"/>
      </patternFill>
    </fill>
    <fill>
      <patternFill patternType="solid">
        <fgColor rgb="FF00B0F0"/>
        <bgColor rgb="FF000000"/>
      </patternFill>
    </fill>
  </fills>
  <borders count="10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bottom/>
      <diagonal/>
    </border>
    <border>
      <left/>
      <right style="medium">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right/>
      <top/>
      <bottom style="medium">
        <color rgb="FFF85208"/>
      </bottom>
      <diagonal/>
    </border>
    <border>
      <left/>
      <right/>
      <top style="medium">
        <color rgb="FFF85208"/>
      </top>
      <bottom/>
      <diagonal/>
    </border>
    <border>
      <left/>
      <right/>
      <top style="medium">
        <color theme="9" tint="-0.24994659260841701"/>
      </top>
      <bottom/>
      <diagonal/>
    </border>
    <border>
      <left/>
      <right/>
      <top/>
      <bottom style="medium">
        <color theme="9" tint="-0.24994659260841701"/>
      </bottom>
      <diagonal/>
    </border>
    <border>
      <left/>
      <right/>
      <top style="medium">
        <color theme="9" tint="-0.24994659260841701"/>
      </top>
      <bottom style="thin">
        <color indexed="64"/>
      </bottom>
      <diagonal/>
    </border>
    <border>
      <left style="thin">
        <color indexed="64"/>
      </left>
      <right style="thin">
        <color indexed="64"/>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rgb="FF002060"/>
      </bottom>
      <diagonal/>
    </border>
    <border>
      <left/>
      <right/>
      <top style="thin">
        <color indexed="64"/>
      </top>
      <bottom style="medium">
        <color rgb="FFF85208"/>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bottom style="thin">
        <color theme="0"/>
      </bottom>
      <diagonal/>
    </border>
    <border>
      <left style="medium">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top style="medium">
        <color indexed="64"/>
      </top>
      <bottom style="double">
        <color indexed="64"/>
      </bottom>
      <diagonal/>
    </border>
    <border>
      <left style="medium">
        <color indexed="64"/>
      </left>
      <right/>
      <top/>
      <bottom style="medium">
        <color indexed="64"/>
      </bottom>
      <diagonal/>
    </border>
    <border>
      <left/>
      <right/>
      <top style="thick">
        <color rgb="FFF85208"/>
      </top>
      <bottom/>
      <diagonal/>
    </border>
    <border>
      <left/>
      <right/>
      <top style="thick">
        <color rgb="FFF85208"/>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bottom style="thick">
        <color rgb="FFF85208"/>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bottom/>
      <diagonal/>
    </border>
    <border>
      <left/>
      <right style="thin">
        <color theme="0"/>
      </right>
      <top/>
      <bottom/>
      <diagonal/>
    </border>
    <border>
      <left style="thin">
        <color theme="0"/>
      </left>
      <right style="thin">
        <color theme="0"/>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149">
    <xf numFmtId="0" fontId="0" fillId="0" borderId="0"/>
    <xf numFmtId="0" fontId="12" fillId="0" borderId="0"/>
    <xf numFmtId="0" fontId="12" fillId="0" borderId="0"/>
    <xf numFmtId="0" fontId="46" fillId="2" borderId="43" applyNumberFormat="0" applyAlignment="0" applyProtection="0"/>
    <xf numFmtId="43" fontId="4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44"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 fillId="0" borderId="0" applyFont="0" applyFill="0" applyBorder="0" applyAlignment="0" applyProtection="0"/>
    <xf numFmtId="44" fontId="1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3" fillId="0" borderId="0" applyFont="0" applyFill="0" applyBorder="0" applyAlignment="0" applyProtection="0"/>
    <xf numFmtId="44" fontId="1" fillId="0" borderId="0" applyFont="0" applyFill="0" applyBorder="0" applyAlignment="0" applyProtection="0"/>
    <xf numFmtId="44" fontId="13" fillId="0" borderId="0" applyFont="0" applyFill="0" applyBorder="0" applyAlignment="0" applyProtection="0"/>
    <xf numFmtId="44" fontId="1" fillId="0" borderId="0" applyFont="0" applyFill="0" applyBorder="0" applyAlignment="0" applyProtection="0"/>
    <xf numFmtId="44" fontId="1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 fillId="0" borderId="0" applyFont="0" applyFill="0" applyBorder="0" applyAlignment="0" applyProtection="0"/>
    <xf numFmtId="44" fontId="1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3" fillId="0" borderId="0" applyFont="0" applyFill="0" applyBorder="0" applyAlignment="0" applyProtection="0"/>
    <xf numFmtId="44" fontId="1" fillId="0" borderId="0" applyFont="0" applyFill="0" applyBorder="0" applyAlignment="0" applyProtection="0"/>
    <xf numFmtId="44" fontId="13" fillId="0" borderId="0" applyFont="0" applyFill="0" applyBorder="0" applyAlignment="0" applyProtection="0"/>
    <xf numFmtId="44" fontId="1" fillId="0" borderId="0" applyFont="0" applyFill="0" applyBorder="0" applyAlignment="0" applyProtection="0"/>
    <xf numFmtId="44" fontId="1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 fillId="0" borderId="0" applyFont="0" applyFill="0" applyBorder="0" applyAlignment="0" applyProtection="0"/>
    <xf numFmtId="44" fontId="1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3" fillId="0" borderId="0" applyFont="0" applyFill="0" applyBorder="0" applyAlignment="0" applyProtection="0"/>
    <xf numFmtId="44" fontId="1" fillId="0" borderId="0" applyFont="0" applyFill="0" applyBorder="0" applyAlignment="0" applyProtection="0"/>
    <xf numFmtId="44" fontId="13" fillId="0" borderId="0" applyFont="0" applyFill="0" applyBorder="0" applyAlignment="0" applyProtection="0"/>
    <xf numFmtId="44" fontId="1" fillId="0" borderId="0" applyFont="0" applyFill="0" applyBorder="0" applyAlignment="0" applyProtection="0"/>
    <xf numFmtId="44" fontId="1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3" fillId="0" borderId="0" applyFont="0" applyFill="0" applyBorder="0" applyAlignment="0" applyProtection="0"/>
    <xf numFmtId="44" fontId="1" fillId="0" borderId="0" applyFon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alignment vertical="top"/>
      <protection locked="0"/>
    </xf>
    <xf numFmtId="0" fontId="12" fillId="0" borderId="0"/>
    <xf numFmtId="0" fontId="44" fillId="0" borderId="0"/>
    <xf numFmtId="0" fontId="12" fillId="0" borderId="0"/>
    <xf numFmtId="0" fontId="44" fillId="0" borderId="0"/>
    <xf numFmtId="0" fontId="12" fillId="0" borderId="0"/>
    <xf numFmtId="0" fontId="12" fillId="0" borderId="0"/>
    <xf numFmtId="0" fontId="14" fillId="0" borderId="0"/>
    <xf numFmtId="9" fontId="4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178" fontId="14" fillId="0" borderId="0"/>
    <xf numFmtId="178" fontId="44" fillId="0" borderId="0"/>
    <xf numFmtId="178" fontId="44" fillId="0" borderId="0"/>
    <xf numFmtId="43" fontId="12" fillId="0" borderId="0" applyFont="0" applyFill="0" applyBorder="0" applyAlignment="0" applyProtection="0"/>
    <xf numFmtId="179" fontId="12" fillId="0" borderId="0"/>
    <xf numFmtId="179" fontId="12" fillId="0" borderId="0"/>
    <xf numFmtId="178" fontId="44" fillId="0" borderId="0"/>
    <xf numFmtId="178" fontId="44" fillId="0" borderId="0"/>
    <xf numFmtId="178" fontId="44" fillId="0" borderId="0"/>
    <xf numFmtId="178" fontId="44" fillId="0" borderId="0"/>
    <xf numFmtId="178" fontId="44" fillId="0" borderId="0"/>
    <xf numFmtId="178" fontId="44" fillId="0" borderId="0"/>
    <xf numFmtId="178" fontId="44" fillId="0" borderId="0"/>
    <xf numFmtId="178" fontId="44" fillId="0" borderId="0"/>
    <xf numFmtId="178" fontId="44" fillId="0" borderId="0"/>
    <xf numFmtId="178" fontId="44" fillId="0" borderId="0"/>
    <xf numFmtId="178" fontId="44" fillId="0" borderId="0"/>
    <xf numFmtId="178" fontId="44" fillId="0" borderId="0"/>
    <xf numFmtId="178" fontId="44" fillId="0" borderId="0"/>
    <xf numFmtId="0" fontId="12" fillId="0" borderId="0"/>
    <xf numFmtId="0" fontId="167" fillId="0" borderId="0"/>
    <xf numFmtId="9" fontId="44" fillId="0" borderId="0" applyFont="0" applyFill="0" applyBorder="0" applyAlignment="0" applyProtection="0"/>
    <xf numFmtId="0" fontId="44" fillId="0" borderId="0"/>
    <xf numFmtId="43" fontId="44" fillId="0" borderId="0" applyFont="0" applyFill="0" applyBorder="0" applyAlignment="0" applyProtection="0"/>
  </cellStyleXfs>
  <cellXfs count="1470">
    <xf numFmtId="0" fontId="0" fillId="0" borderId="0" xfId="0"/>
    <xf numFmtId="0" fontId="52" fillId="0" borderId="0" xfId="0" applyFont="1"/>
    <xf numFmtId="0" fontId="0" fillId="0" borderId="1" xfId="0" applyBorder="1"/>
    <xf numFmtId="0" fontId="7" fillId="0" borderId="0" xfId="0" applyFont="1" applyAlignment="1" applyProtection="1">
      <alignment horizontal="left"/>
      <protection hidden="1"/>
    </xf>
    <xf numFmtId="0" fontId="54" fillId="0" borderId="0" xfId="0" applyFont="1" applyAlignment="1" applyProtection="1">
      <alignment horizontal="left" vertical="center"/>
      <protection hidden="1"/>
    </xf>
    <xf numFmtId="0" fontId="55" fillId="0" borderId="0" xfId="0" applyFont="1" applyAlignment="1" applyProtection="1">
      <alignment horizontal="left" vertical="center"/>
      <protection hidden="1"/>
    </xf>
    <xf numFmtId="0" fontId="56" fillId="0" borderId="0" xfId="0" applyFont="1" applyAlignment="1" applyProtection="1">
      <alignment vertical="center"/>
      <protection hidden="1"/>
    </xf>
    <xf numFmtId="0" fontId="57" fillId="0" borderId="0" xfId="0" applyFont="1" applyAlignment="1" applyProtection="1">
      <alignment vertical="center"/>
      <protection hidden="1"/>
    </xf>
    <xf numFmtId="0" fontId="0" fillId="0" borderId="2" xfId="0" applyBorder="1"/>
    <xf numFmtId="0" fontId="58" fillId="0" borderId="0" xfId="0" applyFont="1" applyProtection="1">
      <protection hidden="1"/>
    </xf>
    <xf numFmtId="0" fontId="58" fillId="4" borderId="0" xfId="0" applyFont="1" applyFill="1" applyAlignment="1" applyProtection="1">
      <alignment vertical="center"/>
      <protection hidden="1"/>
    </xf>
    <xf numFmtId="0" fontId="55" fillId="4" borderId="0" xfId="0" applyFont="1" applyFill="1" applyAlignment="1" applyProtection="1">
      <alignment vertical="center"/>
      <protection hidden="1"/>
    </xf>
    <xf numFmtId="0" fontId="58" fillId="0" borderId="0" xfId="0" applyFont="1" applyAlignment="1" applyProtection="1">
      <alignment vertical="center"/>
      <protection hidden="1"/>
    </xf>
    <xf numFmtId="0" fontId="15" fillId="0" borderId="0" xfId="0" applyFont="1" applyAlignment="1" applyProtection="1">
      <alignment vertical="center"/>
      <protection hidden="1"/>
    </xf>
    <xf numFmtId="0" fontId="21" fillId="0" borderId="0" xfId="0" applyFont="1" applyProtection="1">
      <protection hidden="1"/>
    </xf>
    <xf numFmtId="0" fontId="20" fillId="0" borderId="0" xfId="0" applyFont="1" applyAlignment="1" applyProtection="1">
      <alignment vertical="center"/>
      <protection hidden="1"/>
    </xf>
    <xf numFmtId="0" fontId="55" fillId="0" borderId="3" xfId="0" applyFont="1" applyBorder="1" applyAlignment="1" applyProtection="1">
      <alignment vertical="center"/>
      <protection hidden="1"/>
    </xf>
    <xf numFmtId="0" fontId="26" fillId="0" borderId="0" xfId="0" applyFont="1" applyAlignment="1" applyProtection="1">
      <alignment vertical="center"/>
      <protection hidden="1"/>
    </xf>
    <xf numFmtId="0" fontId="54" fillId="0" borderId="44" xfId="0" applyFont="1" applyBorder="1" applyAlignment="1" applyProtection="1">
      <alignment vertical="center"/>
      <protection hidden="1"/>
    </xf>
    <xf numFmtId="0" fontId="2" fillId="0" borderId="0" xfId="0" applyFont="1" applyAlignment="1" applyProtection="1">
      <alignment vertical="center"/>
      <protection hidden="1"/>
    </xf>
    <xf numFmtId="0" fontId="54" fillId="0" borderId="0" xfId="0" applyFont="1" applyAlignment="1" applyProtection="1">
      <alignment vertical="center"/>
      <protection hidden="1"/>
    </xf>
    <xf numFmtId="0" fontId="16" fillId="0" borderId="0" xfId="0" applyFont="1" applyAlignment="1" applyProtection="1">
      <alignment vertical="center"/>
      <protection hidden="1"/>
    </xf>
    <xf numFmtId="0" fontId="57" fillId="5" borderId="3" xfId="0" applyFont="1" applyFill="1" applyBorder="1" applyAlignment="1" applyProtection="1">
      <alignment vertical="center"/>
      <protection hidden="1"/>
    </xf>
    <xf numFmtId="0" fontId="54" fillId="0" borderId="44" xfId="0" applyFont="1" applyBorder="1" applyAlignment="1" applyProtection="1">
      <alignment horizontal="left"/>
      <protection hidden="1"/>
    </xf>
    <xf numFmtId="0" fontId="54" fillId="0" borderId="45" xfId="0" applyFont="1" applyBorder="1" applyAlignment="1" applyProtection="1">
      <alignment horizontal="left" vertical="center"/>
      <protection hidden="1"/>
    </xf>
    <xf numFmtId="49" fontId="0" fillId="0" borderId="0" xfId="0" applyNumberFormat="1"/>
    <xf numFmtId="0" fontId="47" fillId="0" borderId="0" xfId="0" applyFont="1"/>
    <xf numFmtId="0" fontId="61" fillId="0" borderId="0" xfId="0" applyFont="1" applyAlignment="1" applyProtection="1">
      <alignment horizontal="right" vertical="center" wrapText="1"/>
      <protection hidden="1"/>
    </xf>
    <xf numFmtId="0" fontId="61" fillId="0" borderId="0" xfId="0" applyFont="1" applyAlignment="1" applyProtection="1">
      <alignment horizontal="right" vertical="center"/>
      <protection hidden="1"/>
    </xf>
    <xf numFmtId="0" fontId="61" fillId="0" borderId="0" xfId="0" applyFont="1" applyAlignment="1" applyProtection="1">
      <alignment horizontal="left" vertical="top"/>
      <protection hidden="1"/>
    </xf>
    <xf numFmtId="0" fontId="62" fillId="0" borderId="0" xfId="0" applyFont="1" applyAlignment="1" applyProtection="1">
      <alignment horizontal="left" vertical="top"/>
      <protection hidden="1"/>
    </xf>
    <xf numFmtId="0" fontId="61" fillId="0" borderId="0" xfId="0" applyFont="1" applyAlignment="1" applyProtection="1">
      <alignment horizontal="left" vertical="top" wrapText="1"/>
      <protection hidden="1"/>
    </xf>
    <xf numFmtId="0" fontId="52" fillId="0" borderId="2" xfId="0" applyFont="1" applyBorder="1" applyAlignment="1" applyProtection="1">
      <alignment horizontal="left"/>
      <protection hidden="1"/>
    </xf>
    <xf numFmtId="0" fontId="61" fillId="0" borderId="0" xfId="0" applyFont="1" applyAlignment="1" applyProtection="1">
      <alignment vertical="top"/>
      <protection hidden="1"/>
    </xf>
    <xf numFmtId="0" fontId="63" fillId="0" borderId="0" xfId="0" applyFont="1" applyProtection="1">
      <protection hidden="1"/>
    </xf>
    <xf numFmtId="0" fontId="61" fillId="0" borderId="0" xfId="0" applyFont="1" applyAlignment="1" applyProtection="1">
      <alignment vertical="top" wrapText="1"/>
      <protection hidden="1"/>
    </xf>
    <xf numFmtId="0" fontId="64" fillId="0" borderId="0" xfId="0" applyFont="1" applyAlignment="1" applyProtection="1">
      <alignment horizontal="left" vertical="top"/>
      <protection hidden="1"/>
    </xf>
    <xf numFmtId="173" fontId="52" fillId="0" borderId="0" xfId="0" applyNumberFormat="1" applyFont="1" applyAlignment="1" applyProtection="1">
      <alignment horizontal="center"/>
      <protection hidden="1"/>
    </xf>
    <xf numFmtId="0" fontId="0" fillId="0" borderId="0" xfId="0" applyProtection="1">
      <protection hidden="1"/>
    </xf>
    <xf numFmtId="0" fontId="0" fillId="0" borderId="0" xfId="0" applyAlignment="1" applyProtection="1">
      <alignment horizontal="right"/>
      <protection hidden="1"/>
    </xf>
    <xf numFmtId="0" fontId="65" fillId="0" borderId="0" xfId="0" applyFont="1" applyAlignment="1" applyProtection="1">
      <alignment horizontal="right"/>
      <protection hidden="1"/>
    </xf>
    <xf numFmtId="0" fontId="50" fillId="0" borderId="0" xfId="0" applyFont="1" applyProtection="1">
      <protection hidden="1"/>
    </xf>
    <xf numFmtId="0" fontId="47" fillId="6" borderId="0" xfId="0" applyFont="1" applyFill="1" applyProtection="1">
      <protection hidden="1"/>
    </xf>
    <xf numFmtId="0" fontId="0" fillId="0" borderId="4" xfId="0" applyBorder="1" applyProtection="1">
      <protection hidden="1"/>
    </xf>
    <xf numFmtId="0" fontId="0" fillId="0" borderId="2" xfId="0" applyBorder="1" applyProtection="1">
      <protection hidden="1"/>
    </xf>
    <xf numFmtId="0" fontId="0" fillId="0" borderId="5" xfId="0" applyBorder="1" applyProtection="1">
      <protection hidden="1"/>
    </xf>
    <xf numFmtId="0" fontId="0" fillId="0" borderId="0" xfId="0" applyAlignment="1" applyProtection="1">
      <alignment horizontal="center"/>
      <protection hidden="1"/>
    </xf>
    <xf numFmtId="0" fontId="0" fillId="0" borderId="5" xfId="0" quotePrefix="1" applyBorder="1" applyProtection="1">
      <protection hidden="1"/>
    </xf>
    <xf numFmtId="0" fontId="66" fillId="0" borderId="5" xfId="0" applyFont="1" applyBorder="1" applyProtection="1">
      <protection hidden="1"/>
    </xf>
    <xf numFmtId="0" fontId="53" fillId="0" borderId="0" xfId="0" applyFont="1" applyProtection="1">
      <protection hidden="1"/>
    </xf>
    <xf numFmtId="0" fontId="67" fillId="0" borderId="0" xfId="0" applyFont="1" applyProtection="1">
      <protection hidden="1"/>
    </xf>
    <xf numFmtId="0" fontId="53" fillId="0" borderId="5" xfId="0" applyFont="1" applyBorder="1" applyProtection="1">
      <protection hidden="1"/>
    </xf>
    <xf numFmtId="0" fontId="50" fillId="0" borderId="6" xfId="0" applyFont="1" applyBorder="1" applyProtection="1">
      <protection hidden="1"/>
    </xf>
    <xf numFmtId="0" fontId="0" fillId="0" borderId="3" xfId="0" applyBorder="1" applyProtection="1">
      <protection hidden="1"/>
    </xf>
    <xf numFmtId="0" fontId="68" fillId="0" borderId="0" xfId="0" applyFont="1" applyProtection="1">
      <protection hidden="1"/>
    </xf>
    <xf numFmtId="0" fontId="35" fillId="0" borderId="0" xfId="0" applyFont="1" applyAlignment="1" applyProtection="1">
      <alignment horizontal="left" vertical="center" wrapText="1"/>
      <protection hidden="1"/>
    </xf>
    <xf numFmtId="0" fontId="52" fillId="0" borderId="0" xfId="0" applyFont="1" applyAlignment="1">
      <alignment horizontal="center"/>
    </xf>
    <xf numFmtId="0" fontId="6" fillId="0" borderId="2" xfId="0" applyFont="1" applyBorder="1" applyAlignment="1">
      <alignment horizontal="left" vertical="center"/>
    </xf>
    <xf numFmtId="0" fontId="6" fillId="0" borderId="2" xfId="0" applyFont="1" applyBorder="1" applyAlignment="1">
      <alignment vertical="center"/>
    </xf>
    <xf numFmtId="0" fontId="6" fillId="0" borderId="2" xfId="0" applyFont="1" applyBorder="1" applyAlignment="1">
      <alignment horizontal="right" vertical="center" wrapText="1"/>
    </xf>
    <xf numFmtId="0" fontId="6" fillId="0" borderId="2" xfId="0" applyFont="1" applyBorder="1" applyAlignment="1" applyProtection="1">
      <alignment horizontal="right"/>
      <protection locked="0"/>
    </xf>
    <xf numFmtId="0" fontId="52" fillId="0" borderId="2" xfId="0" applyFont="1" applyBorder="1"/>
    <xf numFmtId="0" fontId="52" fillId="0" borderId="3" xfId="0" applyFont="1" applyBorder="1"/>
    <xf numFmtId="0" fontId="69" fillId="0" borderId="0" xfId="0" applyFont="1" applyProtection="1">
      <protection hidden="1"/>
    </xf>
    <xf numFmtId="44" fontId="52" fillId="5" borderId="3" xfId="58" applyFont="1" applyFill="1" applyBorder="1" applyProtection="1">
      <protection locked="0"/>
    </xf>
    <xf numFmtId="0" fontId="2" fillId="5" borderId="0" xfId="0" applyFont="1" applyFill="1" applyAlignment="1" applyProtection="1">
      <alignment vertical="center"/>
      <protection hidden="1"/>
    </xf>
    <xf numFmtId="0" fontId="5" fillId="5" borderId="0" xfId="0" applyFont="1" applyFill="1" applyAlignment="1" applyProtection="1">
      <alignment vertical="center"/>
      <protection hidden="1"/>
    </xf>
    <xf numFmtId="0" fontId="20" fillId="5" borderId="0" xfId="0" applyFont="1" applyFill="1" applyAlignment="1" applyProtection="1">
      <alignment vertical="center"/>
      <protection hidden="1"/>
    </xf>
    <xf numFmtId="0" fontId="0" fillId="5" borderId="3" xfId="0" applyFill="1" applyBorder="1" applyProtection="1">
      <protection hidden="1"/>
    </xf>
    <xf numFmtId="0" fontId="68" fillId="0" borderId="0" xfId="0" applyFont="1" applyAlignment="1" applyProtection="1">
      <alignment horizontal="left"/>
      <protection hidden="1"/>
    </xf>
    <xf numFmtId="0" fontId="61" fillId="0" borderId="0" xfId="0" applyFont="1" applyProtection="1">
      <protection hidden="1"/>
    </xf>
    <xf numFmtId="0" fontId="70" fillId="0" borderId="0" xfId="0" applyFont="1" applyProtection="1">
      <protection hidden="1"/>
    </xf>
    <xf numFmtId="0" fontId="62" fillId="0" borderId="46" xfId="0" applyFont="1" applyBorder="1" applyProtection="1">
      <protection hidden="1"/>
    </xf>
    <xf numFmtId="0" fontId="62" fillId="0" borderId="0" xfId="0" applyFont="1" applyAlignment="1" applyProtection="1">
      <alignment horizontal="right"/>
      <protection hidden="1"/>
    </xf>
    <xf numFmtId="0" fontId="6" fillId="0" borderId="2" xfId="0" applyFont="1" applyBorder="1" applyAlignment="1" applyProtection="1">
      <alignment horizontal="left" vertical="center"/>
      <protection hidden="1"/>
    </xf>
    <xf numFmtId="0" fontId="6" fillId="0" borderId="2" xfId="0" applyFont="1" applyBorder="1" applyAlignment="1" applyProtection="1">
      <alignment vertical="center"/>
      <protection hidden="1"/>
    </xf>
    <xf numFmtId="0" fontId="3" fillId="0" borderId="2" xfId="0" applyFont="1" applyBorder="1" applyProtection="1">
      <protection hidden="1"/>
    </xf>
    <xf numFmtId="0" fontId="52" fillId="0" borderId="2" xfId="0" applyFont="1" applyBorder="1" applyProtection="1">
      <protection hidden="1"/>
    </xf>
    <xf numFmtId="0" fontId="6" fillId="0" borderId="2" xfId="0" applyFont="1" applyBorder="1" applyAlignment="1" applyProtection="1">
      <alignment horizontal="right"/>
      <protection hidden="1"/>
    </xf>
    <xf numFmtId="0" fontId="6" fillId="0" borderId="2" xfId="0" applyFont="1" applyBorder="1" applyAlignment="1" applyProtection="1">
      <alignment horizontal="right" vertical="center" wrapText="1"/>
      <protection hidden="1"/>
    </xf>
    <xf numFmtId="0" fontId="71" fillId="0" borderId="0" xfId="0" applyFont="1" applyAlignment="1" applyProtection="1">
      <alignment vertical="center"/>
      <protection hidden="1"/>
    </xf>
    <xf numFmtId="0" fontId="72" fillId="0" borderId="0" xfId="0" applyFont="1" applyProtection="1">
      <protection hidden="1"/>
    </xf>
    <xf numFmtId="0" fontId="52" fillId="7" borderId="3" xfId="0" applyFont="1" applyFill="1" applyBorder="1" applyProtection="1">
      <protection hidden="1"/>
    </xf>
    <xf numFmtId="14" fontId="61" fillId="5" borderId="3" xfId="0" applyNumberFormat="1" applyFont="1" applyFill="1" applyBorder="1" applyProtection="1">
      <protection locked="0"/>
    </xf>
    <xf numFmtId="0" fontId="0" fillId="0" borderId="3" xfId="0" applyBorder="1"/>
    <xf numFmtId="0" fontId="2" fillId="0" borderId="0" xfId="0" applyFont="1" applyAlignment="1" applyProtection="1">
      <alignment vertical="center" wrapText="1"/>
      <protection hidden="1"/>
    </xf>
    <xf numFmtId="0" fontId="73" fillId="0" borderId="0" xfId="0" applyFont="1" applyProtection="1">
      <protection hidden="1"/>
    </xf>
    <xf numFmtId="0" fontId="73" fillId="0" borderId="0" xfId="0" applyFont="1" applyAlignment="1" applyProtection="1">
      <alignment horizontal="right"/>
      <protection hidden="1"/>
    </xf>
    <xf numFmtId="0" fontId="52" fillId="0" borderId="3" xfId="0" applyFont="1" applyBorder="1" applyProtection="1">
      <protection hidden="1"/>
    </xf>
    <xf numFmtId="0" fontId="2" fillId="8" borderId="0" xfId="0" applyFont="1" applyFill="1" applyAlignment="1" applyProtection="1">
      <alignment vertical="center"/>
      <protection hidden="1"/>
    </xf>
    <xf numFmtId="0" fontId="0" fillId="5" borderId="3" xfId="0" applyFill="1" applyBorder="1" applyAlignment="1" applyProtection="1">
      <alignment horizontal="center"/>
      <protection locked="0"/>
    </xf>
    <xf numFmtId="0" fontId="2" fillId="5" borderId="3" xfId="0" applyFont="1" applyFill="1" applyBorder="1" applyAlignment="1" applyProtection="1">
      <alignment horizontal="center" vertical="center"/>
      <protection locked="0"/>
    </xf>
    <xf numFmtId="0" fontId="0" fillId="0" borderId="3" xfId="0" applyBorder="1" applyAlignment="1">
      <alignment horizontal="center"/>
    </xf>
    <xf numFmtId="0" fontId="0" fillId="0" borderId="9" xfId="0" applyBorder="1"/>
    <xf numFmtId="0" fontId="0" fillId="0" borderId="10" xfId="0" applyBorder="1"/>
    <xf numFmtId="0" fontId="47" fillId="3" borderId="1" xfId="0" applyFont="1" applyFill="1" applyBorder="1"/>
    <xf numFmtId="0" fontId="0" fillId="0" borderId="11" xfId="0" applyBorder="1"/>
    <xf numFmtId="0" fontId="0" fillId="0" borderId="12" xfId="0" applyBorder="1"/>
    <xf numFmtId="0" fontId="0" fillId="0" borderId="13" xfId="0" applyBorder="1"/>
    <xf numFmtId="0" fontId="47" fillId="0" borderId="0" xfId="0" applyFont="1" applyAlignment="1">
      <alignment horizontal="center"/>
    </xf>
    <xf numFmtId="0" fontId="60" fillId="0" borderId="0" xfId="0" applyFont="1"/>
    <xf numFmtId="0" fontId="44" fillId="0" borderId="0" xfId="4" applyNumberFormat="1"/>
    <xf numFmtId="0" fontId="52" fillId="0" borderId="5" xfId="0" applyFont="1" applyBorder="1"/>
    <xf numFmtId="170" fontId="0" fillId="0" borderId="0" xfId="0" applyNumberFormat="1"/>
    <xf numFmtId="167" fontId="0" fillId="8" borderId="1" xfId="0" applyNumberFormat="1" applyFill="1" applyBorder="1" applyProtection="1">
      <protection hidden="1"/>
    </xf>
    <xf numFmtId="167" fontId="0" fillId="0" borderId="3" xfId="0" applyNumberFormat="1" applyBorder="1" applyProtection="1">
      <protection hidden="1"/>
    </xf>
    <xf numFmtId="0" fontId="52" fillId="5" borderId="3" xfId="0" applyFont="1" applyFill="1" applyBorder="1" applyProtection="1">
      <protection locked="0"/>
    </xf>
    <xf numFmtId="0" fontId="75" fillId="0" borderId="0" xfId="0" applyFont="1" applyAlignment="1">
      <alignment vertical="center" wrapText="1"/>
    </xf>
    <xf numFmtId="0" fontId="70" fillId="0" borderId="0" xfId="0" applyFont="1"/>
    <xf numFmtId="49" fontId="76" fillId="0" borderId="0" xfId="0" applyNumberFormat="1" applyFont="1" applyAlignment="1">
      <alignment horizontal="right"/>
    </xf>
    <xf numFmtId="0" fontId="76" fillId="0" borderId="0" xfId="0" applyFont="1"/>
    <xf numFmtId="49" fontId="76" fillId="0" borderId="0" xfId="0" applyNumberFormat="1" applyFont="1" applyAlignment="1">
      <alignment horizontal="right" vertical="top"/>
    </xf>
    <xf numFmtId="0" fontId="77" fillId="0" borderId="0" xfId="0" applyFont="1" applyAlignment="1">
      <alignment horizontal="center" vertical="center"/>
    </xf>
    <xf numFmtId="0" fontId="76" fillId="0" borderId="0" xfId="0" applyFont="1" applyAlignment="1">
      <alignment vertical="top"/>
    </xf>
    <xf numFmtId="0" fontId="52" fillId="0" borderId="0" xfId="0" applyFont="1" applyProtection="1">
      <protection locked="0"/>
    </xf>
    <xf numFmtId="0" fontId="52" fillId="0" borderId="0" xfId="0" applyFont="1" applyAlignment="1">
      <alignment horizontal="right"/>
    </xf>
    <xf numFmtId="0" fontId="52" fillId="0" borderId="1" xfId="0" applyFont="1" applyBorder="1"/>
    <xf numFmtId="0" fontId="2" fillId="5" borderId="3" xfId="58" applyNumberFormat="1" applyFont="1" applyFill="1" applyBorder="1" applyProtection="1">
      <protection locked="0"/>
    </xf>
    <xf numFmtId="0" fontId="52" fillId="0" borderId="9" xfId="0" applyFont="1" applyBorder="1"/>
    <xf numFmtId="0" fontId="52" fillId="0" borderId="6" xfId="0" applyFont="1" applyBorder="1"/>
    <xf numFmtId="0" fontId="52" fillId="0" borderId="10" xfId="0" applyFont="1" applyBorder="1"/>
    <xf numFmtId="0" fontId="50" fillId="0" borderId="0" xfId="0" applyFont="1"/>
    <xf numFmtId="167" fontId="0" fillId="8" borderId="0" xfId="0" applyNumberFormat="1" applyFill="1" applyProtection="1">
      <protection hidden="1"/>
    </xf>
    <xf numFmtId="0" fontId="0" fillId="0" borderId="0" xfId="0" applyAlignment="1" applyProtection="1">
      <alignment horizontal="left" vertical="top"/>
      <protection hidden="1"/>
    </xf>
    <xf numFmtId="0" fontId="78" fillId="0" borderId="0" xfId="0" applyFont="1" applyAlignment="1" applyProtection="1">
      <alignment vertical="center"/>
      <protection hidden="1"/>
    </xf>
    <xf numFmtId="0" fontId="79" fillId="0" borderId="0" xfId="0" applyFont="1" applyProtection="1">
      <protection hidden="1"/>
    </xf>
    <xf numFmtId="0" fontId="16" fillId="0" borderId="0" xfId="0" applyFont="1" applyAlignment="1" applyProtection="1">
      <alignment horizontal="left" vertical="center"/>
      <protection hidden="1"/>
    </xf>
    <xf numFmtId="0" fontId="31" fillId="3" borderId="1" xfId="0" applyFont="1" applyFill="1" applyBorder="1" applyAlignment="1">
      <alignment horizontal="center" vertical="center"/>
    </xf>
    <xf numFmtId="164" fontId="70" fillId="5" borderId="3" xfId="0" applyNumberFormat="1" applyFont="1" applyFill="1" applyBorder="1" applyAlignment="1" applyProtection="1">
      <alignment horizontal="left"/>
      <protection locked="0"/>
    </xf>
    <xf numFmtId="0" fontId="62" fillId="0" borderId="0" xfId="0" applyFont="1" applyAlignment="1" applyProtection="1">
      <alignment vertical="center"/>
      <protection hidden="1"/>
    </xf>
    <xf numFmtId="0" fontId="62" fillId="0" borderId="0" xfId="0" applyFont="1" applyProtection="1">
      <protection hidden="1"/>
    </xf>
    <xf numFmtId="0" fontId="64" fillId="0" borderId="3" xfId="0" applyFont="1" applyBorder="1" applyProtection="1">
      <protection locked="0"/>
    </xf>
    <xf numFmtId="0" fontId="52" fillId="0" borderId="0" xfId="0" applyFont="1" applyProtection="1">
      <protection hidden="1"/>
    </xf>
    <xf numFmtId="0" fontId="50" fillId="0" borderId="0" xfId="0" applyFont="1" applyAlignment="1" applyProtection="1">
      <alignment horizontal="left"/>
      <protection hidden="1"/>
    </xf>
    <xf numFmtId="0" fontId="50" fillId="0" borderId="0" xfId="0" applyFont="1" applyAlignment="1" applyProtection="1">
      <alignment horizontal="center"/>
      <protection hidden="1"/>
    </xf>
    <xf numFmtId="0" fontId="31" fillId="3" borderId="1" xfId="0" applyFont="1" applyFill="1" applyBorder="1" applyAlignment="1">
      <alignment horizontal="center" vertical="center" wrapText="1"/>
    </xf>
    <xf numFmtId="49" fontId="0" fillId="0" borderId="9" xfId="0" applyNumberFormat="1" applyBorder="1"/>
    <xf numFmtId="0" fontId="79" fillId="0" borderId="0" xfId="0" applyFont="1" applyAlignment="1" applyProtection="1">
      <alignment vertical="top"/>
      <protection hidden="1"/>
    </xf>
    <xf numFmtId="0" fontId="0" fillId="5" borderId="3" xfId="0" applyFill="1" applyBorder="1" applyAlignment="1" applyProtection="1">
      <alignment vertical="center"/>
      <protection hidden="1"/>
    </xf>
    <xf numFmtId="0" fontId="0" fillId="0" borderId="0" xfId="0" applyAlignment="1" applyProtection="1">
      <alignment vertical="center"/>
      <protection hidden="1"/>
    </xf>
    <xf numFmtId="3" fontId="0" fillId="0" borderId="0" xfId="0" applyNumberFormat="1" applyAlignment="1" applyProtection="1">
      <alignment horizontal="center"/>
      <protection locked="0"/>
    </xf>
    <xf numFmtId="0" fontId="0" fillId="8" borderId="0" xfId="0" applyFill="1" applyProtection="1">
      <protection hidden="1"/>
    </xf>
    <xf numFmtId="0" fontId="80" fillId="0" borderId="0" xfId="0" applyFont="1" applyProtection="1">
      <protection hidden="1"/>
    </xf>
    <xf numFmtId="0" fontId="0" fillId="0" borderId="0" xfId="0" applyAlignment="1" applyProtection="1">
      <alignment horizontal="center"/>
      <protection locked="0"/>
    </xf>
    <xf numFmtId="0" fontId="31" fillId="0" borderId="22" xfId="0" applyFont="1" applyBorder="1" applyAlignment="1">
      <alignment horizontal="center" vertical="center"/>
    </xf>
    <xf numFmtId="0" fontId="60" fillId="0" borderId="0" xfId="0" applyFont="1" applyAlignment="1" applyProtection="1">
      <alignment horizontal="center"/>
      <protection locked="0"/>
    </xf>
    <xf numFmtId="0" fontId="42" fillId="0" borderId="0" xfId="0" applyFont="1" applyAlignment="1" applyProtection="1">
      <alignment horizontal="left" vertical="center"/>
      <protection hidden="1"/>
    </xf>
    <xf numFmtId="0" fontId="2" fillId="5" borderId="3" xfId="0" applyFont="1" applyFill="1" applyBorder="1" applyAlignment="1" applyProtection="1">
      <alignment horizontal="center" vertical="center"/>
      <protection locked="0" hidden="1"/>
    </xf>
    <xf numFmtId="0" fontId="81" fillId="0" borderId="0" xfId="0" applyFont="1" applyProtection="1">
      <protection hidden="1"/>
    </xf>
    <xf numFmtId="0" fontId="2" fillId="5" borderId="0" xfId="0" applyFont="1" applyFill="1" applyAlignment="1" applyProtection="1">
      <alignment horizontal="left" vertical="center"/>
      <protection hidden="1"/>
    </xf>
    <xf numFmtId="174" fontId="44" fillId="0" borderId="0" xfId="4" applyNumberFormat="1"/>
    <xf numFmtId="175" fontId="44" fillId="0" borderId="0" xfId="4" applyNumberFormat="1"/>
    <xf numFmtId="176" fontId="44" fillId="0" borderId="0" xfId="4" applyNumberFormat="1"/>
    <xf numFmtId="0" fontId="51" fillId="0" borderId="0" xfId="0" applyFont="1" applyProtection="1">
      <protection hidden="1"/>
    </xf>
    <xf numFmtId="0" fontId="82" fillId="0" borderId="0" xfId="0" applyFont="1" applyProtection="1">
      <protection hidden="1"/>
    </xf>
    <xf numFmtId="0" fontId="52" fillId="0" borderId="0" xfId="0" applyFont="1" applyAlignment="1" applyProtection="1">
      <alignment vertical="center"/>
      <protection hidden="1"/>
    </xf>
    <xf numFmtId="0" fontId="41" fillId="0" borderId="0" xfId="0" applyFont="1" applyAlignment="1" applyProtection="1">
      <alignment horizontal="right" vertical="center"/>
      <protection hidden="1"/>
    </xf>
    <xf numFmtId="0" fontId="84" fillId="0" borderId="0" xfId="0" applyFont="1" applyAlignment="1" applyProtection="1">
      <alignment horizontal="right"/>
      <protection hidden="1"/>
    </xf>
    <xf numFmtId="0" fontId="85" fillId="0" borderId="0" xfId="0" applyFont="1" applyAlignment="1" applyProtection="1">
      <alignment horizontal="right"/>
      <protection hidden="1"/>
    </xf>
    <xf numFmtId="0" fontId="86" fillId="0" borderId="0" xfId="0" applyFont="1" applyAlignment="1" applyProtection="1">
      <alignment vertical="center"/>
      <protection hidden="1"/>
    </xf>
    <xf numFmtId="0" fontId="88" fillId="0" borderId="0" xfId="0" applyFont="1" applyAlignment="1" applyProtection="1">
      <alignment vertical="center"/>
      <protection hidden="1"/>
    </xf>
    <xf numFmtId="0" fontId="52" fillId="0" borderId="0" xfId="0" applyFont="1" applyAlignment="1" applyProtection="1">
      <alignment horizontal="left" vertical="center" indent="8"/>
      <protection hidden="1"/>
    </xf>
    <xf numFmtId="0" fontId="2" fillId="0" borderId="0" xfId="0" applyFont="1" applyProtection="1">
      <protection hidden="1"/>
    </xf>
    <xf numFmtId="0" fontId="17" fillId="0" borderId="0" xfId="0" applyFont="1" applyProtection="1">
      <protection hidden="1"/>
    </xf>
    <xf numFmtId="0" fontId="84" fillId="0" borderId="0" xfId="0" applyFont="1" applyProtection="1">
      <protection hidden="1"/>
    </xf>
    <xf numFmtId="0" fontId="6" fillId="0" borderId="0" xfId="0" applyFont="1" applyAlignment="1" applyProtection="1">
      <alignment horizontal="left" vertical="center"/>
      <protection hidden="1"/>
    </xf>
    <xf numFmtId="0" fontId="6" fillId="0" borderId="0" xfId="0" applyFont="1" applyAlignment="1" applyProtection="1">
      <alignment horizontal="right" vertical="center"/>
      <protection hidden="1"/>
    </xf>
    <xf numFmtId="0" fontId="6" fillId="0" borderId="0" xfId="0" applyFont="1" applyAlignment="1" applyProtection="1">
      <alignment horizontal="left" vertical="center" wrapText="1"/>
      <protection hidden="1"/>
    </xf>
    <xf numFmtId="0" fontId="90" fillId="0" borderId="3" xfId="110" applyFont="1" applyBorder="1" applyAlignment="1" applyProtection="1">
      <alignment vertical="center"/>
      <protection hidden="1"/>
    </xf>
    <xf numFmtId="0" fontId="91" fillId="0" borderId="0" xfId="0" applyFont="1" applyAlignment="1" applyProtection="1">
      <alignment horizontal="left"/>
      <protection hidden="1"/>
    </xf>
    <xf numFmtId="49" fontId="0" fillId="0" borderId="0" xfId="0" applyNumberFormat="1" applyAlignment="1" applyProtection="1">
      <alignment horizontal="right"/>
      <protection hidden="1"/>
    </xf>
    <xf numFmtId="49" fontId="0" fillId="0" borderId="0" xfId="0" applyNumberFormat="1" applyProtection="1">
      <protection hidden="1"/>
    </xf>
    <xf numFmtId="0" fontId="92" fillId="0" borderId="0" xfId="0" applyFont="1" applyProtection="1">
      <protection hidden="1"/>
    </xf>
    <xf numFmtId="0" fontId="48" fillId="0" borderId="0" xfId="105" applyProtection="1">
      <protection hidden="1"/>
    </xf>
    <xf numFmtId="0" fontId="59" fillId="6" borderId="12" xfId="0" applyFont="1" applyFill="1" applyBorder="1" applyAlignment="1" applyProtection="1">
      <alignment horizontal="center" vertical="center" wrapText="1"/>
      <protection hidden="1"/>
    </xf>
    <xf numFmtId="0" fontId="0" fillId="8" borderId="1" xfId="0" applyFill="1" applyBorder="1" applyProtection="1">
      <protection hidden="1"/>
    </xf>
    <xf numFmtId="0" fontId="6" fillId="0" borderId="0" xfId="0" applyFont="1" applyAlignment="1" applyProtection="1">
      <alignment horizontal="right"/>
      <protection hidden="1"/>
    </xf>
    <xf numFmtId="0" fontId="6" fillId="0" borderId="0" xfId="0" applyFont="1" applyAlignment="1" applyProtection="1">
      <alignment horizontal="right" vertical="center" wrapText="1"/>
      <protection hidden="1"/>
    </xf>
    <xf numFmtId="0" fontId="60" fillId="0" borderId="1" xfId="0" applyFont="1" applyBorder="1" applyAlignment="1" applyProtection="1">
      <alignment horizontal="center" vertical="center"/>
      <protection hidden="1"/>
    </xf>
    <xf numFmtId="166" fontId="60" fillId="0" borderId="23" xfId="58" applyNumberFormat="1" applyFont="1" applyBorder="1" applyAlignment="1" applyProtection="1">
      <alignment horizontal="center" vertical="center"/>
      <protection hidden="1"/>
    </xf>
    <xf numFmtId="0" fontId="60" fillId="0" borderId="17" xfId="0" applyFont="1" applyBorder="1" applyAlignment="1" applyProtection="1">
      <alignment horizontal="center" vertical="center"/>
      <protection hidden="1"/>
    </xf>
    <xf numFmtId="0" fontId="60" fillId="0" borderId="18" xfId="0" applyFont="1" applyBorder="1" applyAlignment="1" applyProtection="1">
      <alignment horizontal="center" vertical="center"/>
      <protection hidden="1"/>
    </xf>
    <xf numFmtId="49" fontId="47" fillId="0" borderId="0" xfId="0" applyNumberFormat="1" applyFont="1" applyProtection="1">
      <protection hidden="1"/>
    </xf>
    <xf numFmtId="0" fontId="45" fillId="0" borderId="0" xfId="0" applyFont="1" applyProtection="1">
      <protection hidden="1"/>
    </xf>
    <xf numFmtId="44" fontId="45" fillId="0" borderId="0" xfId="58" applyFont="1" applyProtection="1">
      <protection hidden="1"/>
    </xf>
    <xf numFmtId="171" fontId="45" fillId="0" borderId="0" xfId="4" applyNumberFormat="1" applyFont="1" applyProtection="1">
      <protection hidden="1"/>
    </xf>
    <xf numFmtId="43" fontId="45" fillId="0" borderId="0" xfId="4" applyFont="1" applyProtection="1">
      <protection hidden="1"/>
    </xf>
    <xf numFmtId="0" fontId="25" fillId="0" borderId="0" xfId="0" applyFont="1" applyProtection="1">
      <protection hidden="1"/>
    </xf>
    <xf numFmtId="0" fontId="23" fillId="0" borderId="0" xfId="0" applyFont="1" applyAlignment="1" applyProtection="1">
      <alignment vertical="top"/>
      <protection hidden="1"/>
    </xf>
    <xf numFmtId="0" fontId="23" fillId="0" borderId="0" xfId="0" applyFont="1" applyAlignment="1" applyProtection="1">
      <alignment horizontal="right" vertical="top"/>
      <protection hidden="1"/>
    </xf>
    <xf numFmtId="0" fontId="22" fillId="0" borderId="0" xfId="0" applyFont="1" applyAlignment="1" applyProtection="1">
      <alignment horizontal="left" vertical="top"/>
      <protection hidden="1"/>
    </xf>
    <xf numFmtId="0" fontId="24" fillId="0" borderId="0" xfId="0" applyFont="1" applyAlignment="1" applyProtection="1">
      <alignment vertical="top" wrapText="1"/>
      <protection hidden="1"/>
    </xf>
    <xf numFmtId="0" fontId="93" fillId="0" borderId="0" xfId="0" applyFont="1" applyAlignment="1" applyProtection="1">
      <alignment vertical="top" wrapText="1"/>
      <protection hidden="1"/>
    </xf>
    <xf numFmtId="0" fontId="0" fillId="8" borderId="0" xfId="0" applyFill="1" applyAlignment="1" applyProtection="1">
      <alignment horizontal="center" wrapText="1"/>
      <protection hidden="1"/>
    </xf>
    <xf numFmtId="0" fontId="0" fillId="0" borderId="3" xfId="0" applyBorder="1" applyAlignment="1" applyProtection="1">
      <alignment horizontal="center"/>
      <protection hidden="1"/>
    </xf>
    <xf numFmtId="0" fontId="52" fillId="8" borderId="0" xfId="0" applyFont="1" applyFill="1" applyAlignment="1" applyProtection="1">
      <alignment vertical="center"/>
      <protection hidden="1"/>
    </xf>
    <xf numFmtId="0" fontId="70" fillId="8" borderId="3" xfId="0" applyFont="1" applyFill="1" applyBorder="1" applyAlignment="1" applyProtection="1">
      <alignment horizontal="left" vertical="center"/>
      <protection hidden="1"/>
    </xf>
    <xf numFmtId="0" fontId="52" fillId="8" borderId="3" xfId="0" applyFont="1" applyFill="1" applyBorder="1" applyAlignment="1" applyProtection="1">
      <alignment horizontal="left" vertical="center"/>
      <protection hidden="1"/>
    </xf>
    <xf numFmtId="0" fontId="52" fillId="8" borderId="0" xfId="0" applyFont="1" applyFill="1" applyAlignment="1" applyProtection="1">
      <alignment horizontal="left" vertical="center"/>
      <protection hidden="1"/>
    </xf>
    <xf numFmtId="0" fontId="94" fillId="8" borderId="0" xfId="0" applyFont="1" applyFill="1" applyProtection="1">
      <protection hidden="1"/>
    </xf>
    <xf numFmtId="0" fontId="94" fillId="8" borderId="0" xfId="0" applyFont="1" applyFill="1" applyAlignment="1" applyProtection="1">
      <alignment horizontal="left"/>
      <protection hidden="1"/>
    </xf>
    <xf numFmtId="0" fontId="62" fillId="8" borderId="0" xfId="0" applyFont="1" applyFill="1" applyAlignment="1" applyProtection="1">
      <alignment vertical="top"/>
      <protection hidden="1"/>
    </xf>
    <xf numFmtId="0" fontId="94" fillId="0" borderId="0" xfId="0" applyFont="1" applyProtection="1">
      <protection hidden="1"/>
    </xf>
    <xf numFmtId="0" fontId="94" fillId="0" borderId="2" xfId="0" applyFont="1" applyBorder="1" applyProtection="1">
      <protection hidden="1"/>
    </xf>
    <xf numFmtId="0" fontId="94" fillId="0" borderId="0" xfId="0" applyFont="1" applyAlignment="1" applyProtection="1">
      <alignment horizontal="left"/>
      <protection hidden="1"/>
    </xf>
    <xf numFmtId="0" fontId="62" fillId="0" borderId="0" xfId="0" applyFont="1" applyAlignment="1" applyProtection="1">
      <alignment vertical="top"/>
      <protection hidden="1"/>
    </xf>
    <xf numFmtId="0" fontId="62" fillId="8" borderId="0" xfId="0" applyFont="1" applyFill="1" applyProtection="1">
      <protection hidden="1"/>
    </xf>
    <xf numFmtId="0" fontId="62" fillId="8" borderId="0" xfId="0" applyFont="1" applyFill="1" applyAlignment="1" applyProtection="1">
      <alignment horizontal="left"/>
      <protection hidden="1"/>
    </xf>
    <xf numFmtId="0" fontId="95" fillId="8" borderId="3" xfId="0" applyFont="1" applyFill="1" applyBorder="1" applyProtection="1">
      <protection hidden="1"/>
    </xf>
    <xf numFmtId="0" fontId="95" fillId="8" borderId="0" xfId="0" applyFont="1" applyFill="1" applyProtection="1">
      <protection hidden="1"/>
    </xf>
    <xf numFmtId="0" fontId="94" fillId="8" borderId="2" xfId="0" applyFont="1" applyFill="1" applyBorder="1" applyProtection="1">
      <protection hidden="1"/>
    </xf>
    <xf numFmtId="0" fontId="70" fillId="8" borderId="0" xfId="0" applyFont="1" applyFill="1" applyAlignment="1" applyProtection="1">
      <alignment horizontal="left" vertical="center"/>
      <protection hidden="1"/>
    </xf>
    <xf numFmtId="0" fontId="95" fillId="8" borderId="2" xfId="0" applyFont="1" applyFill="1" applyBorder="1" applyProtection="1">
      <protection hidden="1"/>
    </xf>
    <xf numFmtId="0" fontId="62" fillId="8" borderId="0" xfId="0" applyFont="1" applyFill="1" applyAlignment="1" applyProtection="1">
      <alignment vertical="top" wrapText="1"/>
      <protection hidden="1"/>
    </xf>
    <xf numFmtId="0" fontId="52" fillId="8" borderId="0" xfId="0" applyFont="1" applyFill="1" applyProtection="1">
      <protection hidden="1"/>
    </xf>
    <xf numFmtId="0" fontId="95" fillId="8" borderId="0" xfId="0" applyFont="1" applyFill="1" applyAlignment="1" applyProtection="1">
      <alignment vertical="center"/>
      <protection hidden="1"/>
    </xf>
    <xf numFmtId="2" fontId="52" fillId="0" borderId="0" xfId="0" applyNumberFormat="1" applyFont="1" applyProtection="1">
      <protection hidden="1"/>
    </xf>
    <xf numFmtId="49" fontId="52" fillId="8" borderId="0" xfId="0" applyNumberFormat="1" applyFont="1" applyFill="1" applyProtection="1">
      <protection hidden="1"/>
    </xf>
    <xf numFmtId="0" fontId="62" fillId="8" borderId="0" xfId="0" applyFont="1" applyFill="1" applyAlignment="1" applyProtection="1">
      <alignment horizontal="center" vertical="center" wrapText="1"/>
      <protection hidden="1"/>
    </xf>
    <xf numFmtId="49" fontId="95" fillId="8" borderId="0" xfId="0" applyNumberFormat="1" applyFont="1" applyFill="1" applyProtection="1">
      <protection hidden="1"/>
    </xf>
    <xf numFmtId="49" fontId="95" fillId="8" borderId="0" xfId="0" applyNumberFormat="1" applyFont="1" applyFill="1" applyAlignment="1" applyProtection="1">
      <alignment horizontal="right"/>
      <protection hidden="1"/>
    </xf>
    <xf numFmtId="0" fontId="0" fillId="5" borderId="1" xfId="0" applyFill="1" applyBorder="1" applyAlignment="1" applyProtection="1">
      <alignment wrapText="1"/>
      <protection locked="0"/>
    </xf>
    <xf numFmtId="0" fontId="0" fillId="5" borderId="1" xfId="0" applyFill="1" applyBorder="1" applyAlignment="1" applyProtection="1">
      <alignment horizontal="center" wrapText="1"/>
      <protection locked="0"/>
    </xf>
    <xf numFmtId="0" fontId="2" fillId="5" borderId="3" xfId="0" applyFont="1" applyFill="1" applyBorder="1" applyAlignment="1" applyProtection="1">
      <alignment horizontal="center"/>
      <protection locked="0"/>
    </xf>
    <xf numFmtId="0" fontId="8" fillId="0" borderId="0" xfId="0" applyFont="1" applyAlignment="1" applyProtection="1">
      <alignment vertical="center"/>
      <protection hidden="1"/>
    </xf>
    <xf numFmtId="0" fontId="94" fillId="0" borderId="0" xfId="0" applyFont="1" applyAlignment="1" applyProtection="1">
      <alignment horizontal="center" vertical="center"/>
      <protection hidden="1"/>
    </xf>
    <xf numFmtId="0" fontId="2" fillId="0" borderId="0" xfId="0" applyFont="1" applyAlignment="1" applyProtection="1">
      <alignment horizontal="left" vertical="top"/>
      <protection hidden="1"/>
    </xf>
    <xf numFmtId="0" fontId="52" fillId="0" borderId="0" xfId="0" applyFont="1" applyAlignment="1" applyProtection="1">
      <alignment vertical="top"/>
      <protection hidden="1"/>
    </xf>
    <xf numFmtId="0" fontId="4" fillId="0" borderId="0" xfId="0" applyFont="1" applyAlignment="1" applyProtection="1">
      <alignment horizontal="center" vertical="top"/>
      <protection hidden="1"/>
    </xf>
    <xf numFmtId="0" fontId="76" fillId="0" borderId="0" xfId="0" applyFont="1" applyAlignment="1" applyProtection="1">
      <alignment vertical="center"/>
      <protection hidden="1"/>
    </xf>
    <xf numFmtId="0" fontId="48" fillId="0" borderId="0" xfId="105" applyAlignment="1" applyProtection="1">
      <alignment horizontal="center" vertical="top"/>
      <protection hidden="1"/>
    </xf>
    <xf numFmtId="167" fontId="60" fillId="0" borderId="23" xfId="58" applyNumberFormat="1" applyFont="1" applyBorder="1" applyAlignment="1" applyProtection="1">
      <alignment horizontal="center" vertical="center"/>
      <protection hidden="1"/>
    </xf>
    <xf numFmtId="0" fontId="43" fillId="0" borderId="0" xfId="0" applyFont="1" applyAlignment="1" applyProtection="1">
      <alignment wrapText="1"/>
      <protection hidden="1"/>
    </xf>
    <xf numFmtId="0" fontId="12" fillId="11" borderId="3" xfId="0" applyFont="1" applyFill="1" applyBorder="1" applyAlignment="1">
      <alignment wrapText="1"/>
    </xf>
    <xf numFmtId="0" fontId="0" fillId="11" borderId="3" xfId="0" applyFill="1" applyBorder="1" applyAlignment="1">
      <alignment wrapText="1"/>
    </xf>
    <xf numFmtId="0" fontId="66" fillId="0" borderId="0" xfId="0" applyFont="1"/>
    <xf numFmtId="0" fontId="47" fillId="3" borderId="1" xfId="0" applyFont="1" applyFill="1" applyBorder="1" applyAlignment="1" applyProtection="1">
      <alignment horizontal="center"/>
      <protection locked="0"/>
    </xf>
    <xf numFmtId="0" fontId="47" fillId="3" borderId="1" xfId="0" applyFont="1" applyFill="1" applyBorder="1" applyAlignment="1">
      <alignment horizontal="center"/>
    </xf>
    <xf numFmtId="0" fontId="47" fillId="0" borderId="0" xfId="0" applyFont="1" applyAlignment="1">
      <alignment horizontal="center" vertical="center" wrapText="1"/>
    </xf>
    <xf numFmtId="0" fontId="60" fillId="12" borderId="3" xfId="0" applyFont="1" applyFill="1" applyBorder="1"/>
    <xf numFmtId="0" fontId="60" fillId="12" borderId="3" xfId="0" applyFont="1" applyFill="1" applyBorder="1" applyAlignment="1">
      <alignment wrapText="1"/>
    </xf>
    <xf numFmtId="0" fontId="60" fillId="13" borderId="3" xfId="0" applyFont="1" applyFill="1" applyBorder="1"/>
    <xf numFmtId="0" fontId="12" fillId="13" borderId="3" xfId="114" applyFont="1" applyFill="1" applyBorder="1" applyAlignment="1">
      <alignment horizontal="center"/>
    </xf>
    <xf numFmtId="0" fontId="60" fillId="13" borderId="3" xfId="0" applyFont="1" applyFill="1" applyBorder="1" applyAlignment="1">
      <alignment wrapText="1"/>
    </xf>
    <xf numFmtId="0" fontId="12" fillId="13" borderId="3" xfId="0" applyFont="1" applyFill="1" applyBorder="1" applyAlignment="1">
      <alignment wrapText="1"/>
    </xf>
    <xf numFmtId="0" fontId="0" fillId="13" borderId="3" xfId="0" applyFill="1" applyBorder="1" applyAlignment="1">
      <alignment wrapText="1"/>
    </xf>
    <xf numFmtId="0" fontId="60" fillId="11" borderId="3" xfId="0" applyFont="1" applyFill="1" applyBorder="1" applyAlignment="1">
      <alignment wrapText="1"/>
    </xf>
    <xf numFmtId="0" fontId="60" fillId="11" borderId="3" xfId="0" applyFont="1" applyFill="1" applyBorder="1"/>
    <xf numFmtId="0" fontId="60" fillId="9" borderId="0" xfId="0" applyFont="1" applyFill="1" applyAlignment="1">
      <alignment wrapText="1"/>
    </xf>
    <xf numFmtId="0" fontId="60" fillId="14" borderId="0" xfId="0" applyFont="1" applyFill="1"/>
    <xf numFmtId="0" fontId="12" fillId="15" borderId="3" xfId="0" applyFont="1" applyFill="1" applyBorder="1" applyAlignment="1">
      <alignment wrapText="1"/>
    </xf>
    <xf numFmtId="0" fontId="12" fillId="16" borderId="3" xfId="0" applyFont="1" applyFill="1" applyBorder="1" applyAlignment="1">
      <alignment wrapText="1"/>
    </xf>
    <xf numFmtId="0" fontId="60" fillId="16" borderId="3" xfId="0" applyFont="1" applyFill="1" applyBorder="1" applyAlignment="1">
      <alignment wrapText="1"/>
    </xf>
    <xf numFmtId="0" fontId="12" fillId="17" borderId="3" xfId="0" applyFont="1" applyFill="1" applyBorder="1" applyAlignment="1">
      <alignment wrapText="1"/>
    </xf>
    <xf numFmtId="0" fontId="60" fillId="18" borderId="0" xfId="0" applyFont="1" applyFill="1"/>
    <xf numFmtId="0" fontId="60" fillId="18" borderId="3" xfId="0" applyFont="1" applyFill="1" applyBorder="1"/>
    <xf numFmtId="9" fontId="0" fillId="0" borderId="1" xfId="115" applyFont="1" applyBorder="1"/>
    <xf numFmtId="2" fontId="60" fillId="0" borderId="1" xfId="0" applyNumberFormat="1" applyFont="1" applyBorder="1"/>
    <xf numFmtId="0" fontId="47" fillId="8" borderId="0" xfId="0" applyFont="1" applyFill="1" applyAlignment="1" applyProtection="1">
      <alignment horizontal="center"/>
      <protection hidden="1"/>
    </xf>
    <xf numFmtId="49" fontId="0" fillId="0" borderId="14" xfId="0" applyNumberFormat="1" applyBorder="1"/>
    <xf numFmtId="0" fontId="60" fillId="19" borderId="0" xfId="0" applyFont="1" applyFill="1"/>
    <xf numFmtId="0" fontId="45" fillId="20" borderId="0" xfId="0" applyFont="1" applyFill="1"/>
    <xf numFmtId="0" fontId="60" fillId="21" borderId="5" xfId="0" applyFont="1" applyFill="1" applyBorder="1"/>
    <xf numFmtId="0" fontId="60" fillId="22" borderId="49" xfId="125" applyNumberFormat="1" applyFont="1" applyFill="1" applyBorder="1" applyAlignment="1">
      <alignment horizontal="left" wrapText="1"/>
    </xf>
    <xf numFmtId="0" fontId="60" fillId="22" borderId="49" xfId="125" applyNumberFormat="1" applyFont="1" applyFill="1" applyBorder="1" applyAlignment="1">
      <alignment horizontal="left"/>
    </xf>
    <xf numFmtId="0" fontId="60" fillId="22" borderId="12" xfId="0" applyFont="1" applyFill="1" applyBorder="1"/>
    <xf numFmtId="0" fontId="60" fillId="22" borderId="12" xfId="0" applyFont="1" applyFill="1" applyBorder="1" applyAlignment="1">
      <alignment horizontal="center" wrapText="1"/>
    </xf>
    <xf numFmtId="0" fontId="60" fillId="23" borderId="50" xfId="125" applyNumberFormat="1" applyFont="1" applyFill="1" applyBorder="1" applyAlignment="1">
      <alignment horizontal="left" wrapText="1"/>
    </xf>
    <xf numFmtId="0" fontId="60" fillId="23" borderId="0" xfId="125" applyNumberFormat="1" applyFont="1" applyFill="1" applyAlignment="1">
      <alignment horizontal="left" wrapText="1"/>
    </xf>
    <xf numFmtId="0" fontId="73" fillId="8" borderId="0" xfId="0" applyFont="1" applyFill="1" applyProtection="1">
      <protection hidden="1"/>
    </xf>
    <xf numFmtId="0" fontId="103" fillId="0" borderId="0" xfId="0" applyFont="1" applyProtection="1">
      <protection hidden="1"/>
    </xf>
    <xf numFmtId="0" fontId="104" fillId="0" borderId="0" xfId="0" applyFont="1" applyProtection="1">
      <protection hidden="1"/>
    </xf>
    <xf numFmtId="0" fontId="0" fillId="8" borderId="0" xfId="0" applyFill="1" applyProtection="1">
      <protection locked="0" hidden="1"/>
    </xf>
    <xf numFmtId="0" fontId="105" fillId="10" borderId="1" xfId="0" applyFont="1" applyFill="1" applyBorder="1" applyProtection="1">
      <protection locked="0"/>
    </xf>
    <xf numFmtId="0" fontId="60" fillId="0" borderId="11" xfId="0" applyFont="1" applyBorder="1" applyAlignment="1" applyProtection="1">
      <alignment horizontal="center" vertical="center"/>
      <protection hidden="1"/>
    </xf>
    <xf numFmtId="0" fontId="60" fillId="0" borderId="26" xfId="0" applyFont="1" applyBorder="1" applyAlignment="1" applyProtection="1">
      <alignment horizontal="center" vertical="center"/>
      <protection hidden="1"/>
    </xf>
    <xf numFmtId="166" fontId="60" fillId="0" borderId="28" xfId="58" applyNumberFormat="1" applyFont="1" applyBorder="1" applyAlignment="1" applyProtection="1">
      <alignment horizontal="center" vertical="center"/>
      <protection hidden="1"/>
    </xf>
    <xf numFmtId="167" fontId="60" fillId="0" borderId="26" xfId="58" applyNumberFormat="1" applyFont="1" applyBorder="1" applyAlignment="1" applyProtection="1">
      <alignment horizontal="center" vertical="center"/>
      <protection hidden="1"/>
    </xf>
    <xf numFmtId="0" fontId="60" fillId="0" borderId="4" xfId="0" applyFont="1" applyBorder="1" applyAlignment="1" applyProtection="1">
      <alignment horizontal="center" vertical="center"/>
      <protection hidden="1"/>
    </xf>
    <xf numFmtId="167" fontId="60" fillId="0" borderId="28" xfId="58" applyNumberFormat="1" applyFont="1" applyBorder="1" applyAlignment="1" applyProtection="1">
      <alignment horizontal="center" vertical="center"/>
      <protection hidden="1"/>
    </xf>
    <xf numFmtId="0" fontId="61" fillId="0" borderId="0" xfId="0" applyFont="1" applyAlignment="1" applyProtection="1">
      <alignment horizontal="center" wrapText="1"/>
      <protection hidden="1"/>
    </xf>
    <xf numFmtId="0" fontId="61" fillId="0" borderId="0" xfId="0" applyFont="1" applyAlignment="1" applyProtection="1">
      <alignment horizontal="center"/>
      <protection hidden="1"/>
    </xf>
    <xf numFmtId="0" fontId="61" fillId="0" borderId="0" xfId="0" applyFont="1" applyAlignment="1" applyProtection="1">
      <alignment horizontal="left"/>
      <protection hidden="1"/>
    </xf>
    <xf numFmtId="0" fontId="52" fillId="0" borderId="0" xfId="0" applyFont="1" applyAlignment="1" applyProtection="1">
      <alignment horizontal="center"/>
      <protection hidden="1"/>
    </xf>
    <xf numFmtId="0" fontId="52" fillId="0" borderId="0" xfId="0" applyFont="1" applyAlignment="1" applyProtection="1">
      <alignment horizontal="left"/>
      <protection hidden="1"/>
    </xf>
    <xf numFmtId="0" fontId="61" fillId="0" borderId="0" xfId="0" applyFont="1" applyAlignment="1" applyProtection="1">
      <alignment horizontal="right"/>
      <protection hidden="1"/>
    </xf>
    <xf numFmtId="0" fontId="18" fillId="0" borderId="0" xfId="0" applyFont="1" applyAlignment="1" applyProtection="1">
      <alignment vertical="center"/>
      <protection hidden="1"/>
    </xf>
    <xf numFmtId="0" fontId="23" fillId="0" borderId="0" xfId="0" applyFont="1" applyAlignment="1" applyProtection="1">
      <alignment horizontal="left" vertical="top"/>
      <protection hidden="1"/>
    </xf>
    <xf numFmtId="0" fontId="15" fillId="0" borderId="3" xfId="0" applyFont="1" applyBorder="1" applyAlignment="1" applyProtection="1">
      <alignment vertical="center"/>
      <protection hidden="1"/>
    </xf>
    <xf numFmtId="0" fontId="70" fillId="0" borderId="0" xfId="0" applyFont="1" applyAlignment="1" applyProtection="1">
      <alignment horizontal="left"/>
      <protection hidden="1"/>
    </xf>
    <xf numFmtId="0" fontId="70" fillId="0" borderId="3" xfId="0" applyFont="1" applyBorder="1" applyAlignment="1" applyProtection="1">
      <alignment horizontal="left"/>
      <protection hidden="1"/>
    </xf>
    <xf numFmtId="0" fontId="0" fillId="0" borderId="0" xfId="0" applyAlignment="1" applyProtection="1">
      <alignment wrapText="1"/>
      <protection hidden="1"/>
    </xf>
    <xf numFmtId="0" fontId="59" fillId="6" borderId="1" xfId="0" applyFont="1" applyFill="1" applyBorder="1" applyAlignment="1" applyProtection="1">
      <alignment horizontal="center" vertical="center" wrapText="1"/>
      <protection hidden="1"/>
    </xf>
    <xf numFmtId="0" fontId="0" fillId="8" borderId="0" xfId="0" applyFill="1" applyAlignment="1" applyProtection="1">
      <alignment horizontal="center"/>
      <protection hidden="1"/>
    </xf>
    <xf numFmtId="0" fontId="0" fillId="0" borderId="0" xfId="0" applyAlignment="1" applyProtection="1">
      <alignment horizontal="left"/>
      <protection hidden="1"/>
    </xf>
    <xf numFmtId="0" fontId="0" fillId="5" borderId="3" xfId="0" applyFill="1" applyBorder="1" applyProtection="1">
      <protection locked="0"/>
    </xf>
    <xf numFmtId="0" fontId="28" fillId="0" borderId="0" xfId="0" applyFont="1" applyAlignment="1" applyProtection="1">
      <alignment horizontal="left" vertical="top" wrapText="1"/>
      <protection hidden="1"/>
    </xf>
    <xf numFmtId="0" fontId="0" fillId="13" borderId="3" xfId="0" applyFill="1" applyBorder="1"/>
    <xf numFmtId="0" fontId="0" fillId="11" borderId="3" xfId="0" applyFill="1" applyBorder="1"/>
    <xf numFmtId="0" fontId="47" fillId="6" borderId="30" xfId="0" applyFont="1" applyFill="1" applyBorder="1" applyProtection="1">
      <protection hidden="1"/>
    </xf>
    <xf numFmtId="0" fontId="0" fillId="5" borderId="1" xfId="0" applyFill="1" applyBorder="1" applyAlignment="1" applyProtection="1">
      <alignment wrapText="1"/>
      <protection locked="0" hidden="1"/>
    </xf>
    <xf numFmtId="170" fontId="0" fillId="0" borderId="0" xfId="0" applyNumberFormat="1" applyAlignment="1">
      <alignment horizontal="left"/>
    </xf>
    <xf numFmtId="0" fontId="108" fillId="0" borderId="57" xfId="0" applyFont="1" applyBorder="1" applyProtection="1">
      <protection hidden="1"/>
    </xf>
    <xf numFmtId="0" fontId="109" fillId="0" borderId="57" xfId="0" applyFont="1" applyBorder="1" applyAlignment="1" applyProtection="1">
      <alignment vertical="center"/>
      <protection hidden="1"/>
    </xf>
    <xf numFmtId="0" fontId="0" fillId="0" borderId="34" xfId="0" applyBorder="1" applyAlignment="1" applyProtection="1">
      <alignment wrapText="1"/>
      <protection hidden="1"/>
    </xf>
    <xf numFmtId="0" fontId="60" fillId="0" borderId="0" xfId="0" applyFont="1" applyAlignment="1" applyProtection="1">
      <alignment horizontal="center" vertical="center"/>
      <protection hidden="1"/>
    </xf>
    <xf numFmtId="167" fontId="60" fillId="0" borderId="0" xfId="58" applyNumberFormat="1" applyFont="1" applyBorder="1" applyAlignment="1" applyProtection="1">
      <alignment horizontal="center" vertical="center"/>
      <protection hidden="1"/>
    </xf>
    <xf numFmtId="167" fontId="60" fillId="0" borderId="34" xfId="58" applyNumberFormat="1" applyFont="1" applyBorder="1" applyAlignment="1" applyProtection="1">
      <alignment horizontal="center" vertical="center"/>
      <protection hidden="1"/>
    </xf>
    <xf numFmtId="166" fontId="60" fillId="0" borderId="1" xfId="58" applyNumberFormat="1" applyFont="1" applyBorder="1" applyAlignment="1" applyProtection="1">
      <alignment horizontal="center" vertical="center"/>
      <protection hidden="1"/>
    </xf>
    <xf numFmtId="0" fontId="60" fillId="0" borderId="19" xfId="0" applyFont="1" applyBorder="1" applyAlignment="1" applyProtection="1">
      <alignment horizontal="center" vertical="center"/>
      <protection hidden="1"/>
    </xf>
    <xf numFmtId="167" fontId="60" fillId="0" borderId="21" xfId="58" applyNumberFormat="1" applyFont="1" applyBorder="1" applyAlignment="1" applyProtection="1">
      <alignment horizontal="center" vertical="center"/>
      <protection hidden="1"/>
    </xf>
    <xf numFmtId="167" fontId="60" fillId="0" borderId="18" xfId="58" applyNumberFormat="1" applyFont="1" applyBorder="1" applyAlignment="1" applyProtection="1">
      <alignment horizontal="center" vertical="center"/>
      <protection hidden="1"/>
    </xf>
    <xf numFmtId="167" fontId="60" fillId="0" borderId="1" xfId="58" applyNumberFormat="1" applyFont="1" applyBorder="1" applyAlignment="1" applyProtection="1">
      <alignment horizontal="center" vertical="center"/>
      <protection hidden="1"/>
    </xf>
    <xf numFmtId="167" fontId="60" fillId="0" borderId="17" xfId="58" applyNumberFormat="1" applyFont="1" applyBorder="1" applyAlignment="1" applyProtection="1">
      <alignment horizontal="center" vertical="center"/>
      <protection hidden="1"/>
    </xf>
    <xf numFmtId="167" fontId="60" fillId="0" borderId="19" xfId="58" applyNumberFormat="1" applyFont="1" applyBorder="1" applyAlignment="1" applyProtection="1">
      <alignment horizontal="center" vertical="center"/>
      <protection hidden="1"/>
    </xf>
    <xf numFmtId="0" fontId="83" fillId="0" borderId="44" xfId="0" applyFont="1" applyBorder="1" applyAlignment="1" applyProtection="1">
      <alignment vertical="center"/>
      <protection hidden="1"/>
    </xf>
    <xf numFmtId="0" fontId="89" fillId="0" borderId="44" xfId="0" applyFont="1" applyBorder="1" applyAlignment="1" applyProtection="1">
      <alignment vertical="center"/>
      <protection hidden="1"/>
    </xf>
    <xf numFmtId="0" fontId="52" fillId="0" borderId="44" xfId="0" applyFont="1" applyBorder="1" applyProtection="1">
      <protection hidden="1"/>
    </xf>
    <xf numFmtId="0" fontId="59" fillId="3" borderId="1" xfId="0" applyFont="1" applyFill="1" applyBorder="1" applyAlignment="1" applyProtection="1">
      <alignment vertical="center" wrapText="1"/>
      <protection hidden="1"/>
    </xf>
    <xf numFmtId="0" fontId="59" fillId="3" borderId="17" xfId="0" applyFont="1" applyFill="1" applyBorder="1" applyAlignment="1" applyProtection="1">
      <alignment vertical="center" wrapText="1"/>
      <protection hidden="1"/>
    </xf>
    <xf numFmtId="0" fontId="59" fillId="3" borderId="11" xfId="0" applyFont="1" applyFill="1" applyBorder="1" applyAlignment="1" applyProtection="1">
      <alignment vertical="center" wrapText="1"/>
      <protection hidden="1"/>
    </xf>
    <xf numFmtId="0" fontId="59" fillId="3" borderId="13" xfId="0" applyFont="1" applyFill="1" applyBorder="1" applyAlignment="1" applyProtection="1">
      <alignment vertical="center" wrapText="1"/>
      <protection hidden="1"/>
    </xf>
    <xf numFmtId="0" fontId="59" fillId="3" borderId="26" xfId="0" applyFont="1" applyFill="1" applyBorder="1" applyAlignment="1" applyProtection="1">
      <alignment vertical="center" wrapText="1"/>
      <protection hidden="1"/>
    </xf>
    <xf numFmtId="0" fontId="59" fillId="3" borderId="27" xfId="0" applyFont="1" applyFill="1" applyBorder="1" applyAlignment="1" applyProtection="1">
      <alignment vertical="center" wrapText="1"/>
      <protection hidden="1"/>
    </xf>
    <xf numFmtId="0" fontId="60" fillId="0" borderId="24" xfId="0" applyFont="1" applyBorder="1" applyAlignment="1" applyProtection="1">
      <alignment horizontal="center" vertical="center"/>
      <protection hidden="1"/>
    </xf>
    <xf numFmtId="0" fontId="0" fillId="0" borderId="59" xfId="0" applyBorder="1" applyAlignment="1" applyProtection="1">
      <alignment horizontal="center"/>
      <protection hidden="1"/>
    </xf>
    <xf numFmtId="0" fontId="0" fillId="0" borderId="18" xfId="0" applyBorder="1" applyAlignment="1" applyProtection="1">
      <alignment horizontal="center"/>
      <protection hidden="1"/>
    </xf>
    <xf numFmtId="170" fontId="0" fillId="5" borderId="3" xfId="0" applyNumberFormat="1" applyFill="1" applyBorder="1" applyAlignment="1" applyProtection="1">
      <alignment horizontal="center"/>
      <protection locked="0"/>
    </xf>
    <xf numFmtId="0" fontId="112" fillId="0" borderId="44" xfId="0" applyFont="1" applyBorder="1" applyAlignment="1" applyProtection="1">
      <alignment horizontal="left"/>
      <protection hidden="1"/>
    </xf>
    <xf numFmtId="0" fontId="112" fillId="0" borderId="0" xfId="0" applyFont="1" applyAlignment="1" applyProtection="1">
      <alignment horizontal="left"/>
      <protection hidden="1"/>
    </xf>
    <xf numFmtId="0" fontId="113" fillId="0" borderId="44" xfId="0" applyFont="1" applyBorder="1" applyAlignment="1" applyProtection="1">
      <alignment horizontal="left"/>
      <protection hidden="1"/>
    </xf>
    <xf numFmtId="0" fontId="15" fillId="0" borderId="0" xfId="0" applyFont="1" applyAlignment="1" applyProtection="1">
      <alignment horizontal="left" vertical="center"/>
      <protection hidden="1"/>
    </xf>
    <xf numFmtId="0" fontId="60" fillId="5" borderId="3" xfId="0" applyFont="1" applyFill="1" applyBorder="1" applyAlignment="1" applyProtection="1">
      <alignment horizontal="center"/>
      <protection locked="0"/>
    </xf>
    <xf numFmtId="0" fontId="114" fillId="0" borderId="44" xfId="0" applyFont="1" applyBorder="1" applyAlignment="1" applyProtection="1">
      <alignment horizontal="left"/>
      <protection hidden="1"/>
    </xf>
    <xf numFmtId="0" fontId="106" fillId="0" borderId="0" xfId="0" applyFont="1" applyAlignment="1" applyProtection="1">
      <alignment vertical="center"/>
      <protection hidden="1"/>
    </xf>
    <xf numFmtId="0" fontId="115" fillId="0" borderId="0" xfId="0" applyFont="1" applyAlignment="1" applyProtection="1">
      <alignment vertical="center"/>
      <protection hidden="1"/>
    </xf>
    <xf numFmtId="168" fontId="0" fillId="5" borderId="3" xfId="4" applyNumberFormat="1" applyFont="1" applyFill="1" applyBorder="1" applyProtection="1">
      <protection locked="0"/>
    </xf>
    <xf numFmtId="168" fontId="0" fillId="5" borderId="3" xfId="4" applyNumberFormat="1" applyFont="1" applyFill="1" applyBorder="1" applyAlignment="1" applyProtection="1">
      <protection locked="0"/>
    </xf>
    <xf numFmtId="0" fontId="116" fillId="0" borderId="44" xfId="0" applyFont="1" applyBorder="1" applyAlignment="1" applyProtection="1">
      <alignment horizontal="left"/>
      <protection hidden="1"/>
    </xf>
    <xf numFmtId="0" fontId="44" fillId="0" borderId="0" xfId="126" applyNumberFormat="1" applyProtection="1">
      <protection hidden="1"/>
    </xf>
    <xf numFmtId="0" fontId="52" fillId="0" borderId="0" xfId="126" applyNumberFormat="1" applyFont="1" applyProtection="1">
      <protection hidden="1"/>
    </xf>
    <xf numFmtId="0" fontId="118" fillId="0" borderId="0" xfId="126" applyNumberFormat="1" applyFont="1" applyProtection="1">
      <protection hidden="1"/>
    </xf>
    <xf numFmtId="0" fontId="118" fillId="0" borderId="0" xfId="126" applyNumberFormat="1" applyFont="1" applyAlignment="1" applyProtection="1">
      <alignment horizontal="left"/>
      <protection hidden="1"/>
    </xf>
    <xf numFmtId="0" fontId="119" fillId="0" borderId="3" xfId="126" applyNumberFormat="1" applyFont="1" applyBorder="1" applyProtection="1">
      <protection hidden="1"/>
    </xf>
    <xf numFmtId="0" fontId="52" fillId="0" borderId="3" xfId="126" applyNumberFormat="1" applyFont="1" applyBorder="1" applyProtection="1">
      <protection hidden="1"/>
    </xf>
    <xf numFmtId="0" fontId="120" fillId="0" borderId="0" xfId="126" applyNumberFormat="1" applyFont="1" applyProtection="1">
      <protection hidden="1"/>
    </xf>
    <xf numFmtId="0" fontId="121" fillId="0" borderId="0" xfId="126" applyNumberFormat="1" applyFont="1" applyAlignment="1" applyProtection="1">
      <alignment horizontal="center" vertical="center"/>
      <protection hidden="1"/>
    </xf>
    <xf numFmtId="0" fontId="2" fillId="5" borderId="6" xfId="126" applyNumberFormat="1" applyFont="1" applyFill="1" applyBorder="1" applyProtection="1">
      <protection locked="0"/>
    </xf>
    <xf numFmtId="0" fontId="2" fillId="0" borderId="0" xfId="126" applyNumberFormat="1" applyFont="1" applyProtection="1">
      <protection hidden="1"/>
    </xf>
    <xf numFmtId="0" fontId="5" fillId="5" borderId="4" xfId="126" applyNumberFormat="1" applyFont="1" applyFill="1" applyBorder="1" applyAlignment="1" applyProtection="1">
      <alignment vertical="center"/>
      <protection hidden="1"/>
    </xf>
    <xf numFmtId="0" fontId="2" fillId="0" borderId="9" xfId="126" applyNumberFormat="1" applyFont="1" applyBorder="1" applyProtection="1">
      <protection hidden="1"/>
    </xf>
    <xf numFmtId="0" fontId="5" fillId="0" borderId="0" xfId="126" applyNumberFormat="1" applyFont="1" applyAlignment="1" applyProtection="1">
      <alignment horizontal="center" vertical="center"/>
      <protection hidden="1"/>
    </xf>
    <xf numFmtId="0" fontId="2" fillId="0" borderId="5" xfId="126" applyNumberFormat="1" applyFont="1" applyBorder="1" applyProtection="1">
      <protection hidden="1"/>
    </xf>
    <xf numFmtId="0" fontId="2" fillId="0" borderId="0" xfId="126" applyNumberFormat="1" applyFont="1" applyAlignment="1" applyProtection="1">
      <alignment horizontal="right"/>
      <protection hidden="1"/>
    </xf>
    <xf numFmtId="0" fontId="2" fillId="0" borderId="0" xfId="126" applyNumberFormat="1" applyFont="1" applyAlignment="1" applyProtection="1">
      <alignment horizontal="left"/>
      <protection hidden="1"/>
    </xf>
    <xf numFmtId="0" fontId="2" fillId="0" borderId="0" xfId="126" applyNumberFormat="1" applyFont="1" applyAlignment="1" applyProtection="1">
      <alignment horizontal="center"/>
      <protection hidden="1"/>
    </xf>
    <xf numFmtId="0" fontId="2" fillId="0" borderId="5" xfId="126" applyNumberFormat="1" applyFont="1" applyBorder="1" applyAlignment="1" applyProtection="1">
      <alignment horizontal="right"/>
      <protection hidden="1"/>
    </xf>
    <xf numFmtId="0" fontId="2" fillId="0" borderId="3" xfId="126" applyNumberFormat="1" applyFont="1" applyBorder="1" applyAlignment="1" applyProtection="1">
      <alignment horizontal="left"/>
      <protection hidden="1"/>
    </xf>
    <xf numFmtId="0" fontId="2" fillId="5" borderId="6" xfId="126" applyNumberFormat="1" applyFont="1" applyFill="1" applyBorder="1" applyAlignment="1" applyProtection="1">
      <alignment horizontal="center"/>
      <protection locked="0"/>
    </xf>
    <xf numFmtId="0" fontId="2" fillId="5" borderId="22" xfId="126" applyNumberFormat="1" applyFont="1" applyFill="1" applyBorder="1" applyAlignment="1" applyProtection="1">
      <alignment horizontal="center"/>
      <protection locked="0"/>
    </xf>
    <xf numFmtId="0" fontId="2" fillId="0" borderId="2" xfId="126" applyNumberFormat="1" applyFont="1" applyBorder="1" applyAlignment="1" applyProtection="1">
      <alignment horizontal="left"/>
      <protection hidden="1"/>
    </xf>
    <xf numFmtId="0" fontId="17" fillId="0" borderId="0" xfId="126" applyNumberFormat="1" applyFont="1" applyProtection="1">
      <protection hidden="1"/>
    </xf>
    <xf numFmtId="0" fontId="2" fillId="0" borderId="14" xfId="126" applyNumberFormat="1" applyFont="1" applyBorder="1" applyProtection="1">
      <protection hidden="1"/>
    </xf>
    <xf numFmtId="0" fontId="2" fillId="0" borderId="2" xfId="126" applyNumberFormat="1" applyFont="1" applyBorder="1" applyAlignment="1" applyProtection="1">
      <alignment horizontal="right"/>
      <protection hidden="1"/>
    </xf>
    <xf numFmtId="0" fontId="120" fillId="0" borderId="2" xfId="126" applyNumberFormat="1" applyFont="1" applyBorder="1" applyProtection="1">
      <protection hidden="1"/>
    </xf>
    <xf numFmtId="0" fontId="2" fillId="0" borderId="2" xfId="126" applyNumberFormat="1" applyFont="1" applyBorder="1" applyProtection="1">
      <protection hidden="1"/>
    </xf>
    <xf numFmtId="0" fontId="2" fillId="0" borderId="4" xfId="126" applyNumberFormat="1" applyFont="1" applyBorder="1" applyProtection="1">
      <protection hidden="1"/>
    </xf>
    <xf numFmtId="0" fontId="5" fillId="5" borderId="5" xfId="126" applyNumberFormat="1" applyFont="1" applyFill="1" applyBorder="1" applyAlignment="1" applyProtection="1">
      <alignment horizontal="left"/>
      <protection hidden="1"/>
    </xf>
    <xf numFmtId="0" fontId="2" fillId="0" borderId="10" xfId="126" applyNumberFormat="1" applyFont="1" applyBorder="1" applyProtection="1">
      <protection hidden="1"/>
    </xf>
    <xf numFmtId="0" fontId="2" fillId="0" borderId="3" xfId="126" applyNumberFormat="1" applyFont="1" applyBorder="1" applyAlignment="1" applyProtection="1">
      <alignment horizontal="center"/>
      <protection hidden="1"/>
    </xf>
    <xf numFmtId="0" fontId="120" fillId="0" borderId="3" xfId="126" applyNumberFormat="1" applyFont="1" applyBorder="1" applyProtection="1">
      <protection hidden="1"/>
    </xf>
    <xf numFmtId="0" fontId="2" fillId="0" borderId="3" xfId="126" applyNumberFormat="1" applyFont="1" applyBorder="1" applyProtection="1">
      <protection hidden="1"/>
    </xf>
    <xf numFmtId="0" fontId="2" fillId="0" borderId="6" xfId="126" applyNumberFormat="1" applyFont="1" applyBorder="1" applyProtection="1">
      <protection hidden="1"/>
    </xf>
    <xf numFmtId="0" fontId="2" fillId="5" borderId="30" xfId="126" applyNumberFormat="1" applyFont="1" applyFill="1" applyBorder="1" applyAlignment="1" applyProtection="1">
      <alignment horizontal="center"/>
      <protection locked="0"/>
    </xf>
    <xf numFmtId="0" fontId="2" fillId="5" borderId="3" xfId="126" applyNumberFormat="1" applyFont="1" applyFill="1" applyBorder="1" applyAlignment="1" applyProtection="1">
      <alignment horizontal="center"/>
      <protection locked="0"/>
    </xf>
    <xf numFmtId="0" fontId="17" fillId="0" borderId="14" xfId="126" applyNumberFormat="1" applyFont="1" applyBorder="1" applyProtection="1">
      <protection hidden="1"/>
    </xf>
    <xf numFmtId="0" fontId="17" fillId="0" borderId="2" xfId="126" applyNumberFormat="1" applyFont="1" applyBorder="1" applyProtection="1">
      <protection hidden="1"/>
    </xf>
    <xf numFmtId="0" fontId="17" fillId="0" borderId="4" xfId="126" applyNumberFormat="1" applyFont="1" applyBorder="1" applyProtection="1">
      <protection hidden="1"/>
    </xf>
    <xf numFmtId="0" fontId="82" fillId="0" borderId="0" xfId="126" applyNumberFormat="1" applyFont="1" applyProtection="1">
      <protection hidden="1"/>
    </xf>
    <xf numFmtId="0" fontId="5" fillId="5" borderId="6" xfId="126" applyNumberFormat="1" applyFont="1" applyFill="1" applyBorder="1" applyAlignment="1" applyProtection="1">
      <alignment horizontal="right"/>
      <protection locked="0"/>
    </xf>
    <xf numFmtId="0" fontId="5" fillId="0" borderId="6" xfId="126" applyNumberFormat="1" applyFont="1" applyBorder="1" applyAlignment="1" applyProtection="1">
      <alignment horizontal="right"/>
      <protection hidden="1"/>
    </xf>
    <xf numFmtId="0" fontId="2" fillId="0" borderId="9" xfId="126" applyNumberFormat="1" applyFont="1" applyBorder="1" applyAlignment="1" applyProtection="1">
      <alignment horizontal="left"/>
      <protection hidden="1"/>
    </xf>
    <xf numFmtId="0" fontId="17" fillId="0" borderId="3" xfId="126" applyNumberFormat="1" applyFont="1" applyBorder="1" applyProtection="1">
      <protection hidden="1"/>
    </xf>
    <xf numFmtId="14" fontId="2" fillId="0" borderId="0" xfId="126" applyNumberFormat="1" applyFont="1" applyAlignment="1" applyProtection="1">
      <alignment horizontal="right"/>
      <protection hidden="1"/>
    </xf>
    <xf numFmtId="14" fontId="2" fillId="0" borderId="30" xfId="126" applyNumberFormat="1" applyFont="1" applyBorder="1" applyAlignment="1" applyProtection="1">
      <alignment horizontal="left"/>
      <protection locked="0"/>
    </xf>
    <xf numFmtId="0" fontId="17" fillId="0" borderId="0" xfId="126" applyNumberFormat="1" applyFont="1" applyAlignment="1" applyProtection="1">
      <alignment horizontal="right"/>
      <protection hidden="1"/>
    </xf>
    <xf numFmtId="0" fontId="52" fillId="0" borderId="0" xfId="126" applyNumberFormat="1" applyFont="1" applyAlignment="1" applyProtection="1">
      <alignment horizontal="center"/>
      <protection hidden="1"/>
    </xf>
    <xf numFmtId="0" fontId="52" fillId="0" borderId="3" xfId="126" applyNumberFormat="1" applyFont="1" applyBorder="1" applyAlignment="1" applyProtection="1">
      <alignment horizontal="left"/>
      <protection locked="0"/>
    </xf>
    <xf numFmtId="0" fontId="61" fillId="0" borderId="0" xfId="126" applyNumberFormat="1" applyFont="1" applyAlignment="1" applyProtection="1">
      <alignment horizontal="right"/>
      <protection hidden="1"/>
    </xf>
    <xf numFmtId="0" fontId="60" fillId="0" borderId="0" xfId="126" applyNumberFormat="1" applyFont="1" applyProtection="1">
      <protection hidden="1"/>
    </xf>
    <xf numFmtId="0" fontId="51" fillId="0" borderId="0" xfId="126" applyNumberFormat="1" applyFont="1" applyProtection="1">
      <protection hidden="1"/>
    </xf>
    <xf numFmtId="0" fontId="11" fillId="0" borderId="0" xfId="126" applyNumberFormat="1" applyFont="1" applyAlignment="1" applyProtection="1">
      <alignment horizontal="right"/>
      <protection hidden="1"/>
    </xf>
    <xf numFmtId="0" fontId="44" fillId="0" borderId="3" xfId="126" applyNumberFormat="1" applyBorder="1" applyProtection="1">
      <protection hidden="1"/>
    </xf>
    <xf numFmtId="0" fontId="16" fillId="0" borderId="3" xfId="126" applyNumberFormat="1" applyFont="1" applyBorder="1" applyAlignment="1" applyProtection="1">
      <alignment vertical="center"/>
      <protection hidden="1"/>
    </xf>
    <xf numFmtId="0" fontId="15" fillId="0" borderId="3" xfId="126" applyNumberFormat="1" applyFont="1" applyBorder="1" applyAlignment="1" applyProtection="1">
      <alignment horizontal="left" vertical="center" indent="1"/>
      <protection hidden="1"/>
    </xf>
    <xf numFmtId="0" fontId="20" fillId="0" borderId="0" xfId="126" applyNumberFormat="1" applyFont="1" applyAlignment="1" applyProtection="1">
      <alignment vertical="center"/>
      <protection hidden="1"/>
    </xf>
    <xf numFmtId="0" fontId="18" fillId="0" borderId="0" xfId="126" applyNumberFormat="1" applyFont="1" applyAlignment="1" applyProtection="1">
      <alignment vertical="center"/>
      <protection hidden="1"/>
    </xf>
    <xf numFmtId="0" fontId="79" fillId="0" borderId="0" xfId="0" quotePrefix="1" applyFont="1"/>
    <xf numFmtId="0" fontId="47" fillId="3" borderId="0" xfId="0" applyFont="1" applyFill="1" applyProtection="1">
      <protection locked="0"/>
    </xf>
    <xf numFmtId="0" fontId="45" fillId="3" borderId="11" xfId="0" applyFont="1" applyFill="1" applyBorder="1"/>
    <xf numFmtId="0" fontId="45" fillId="3" borderId="1" xfId="0" applyFont="1" applyFill="1" applyBorder="1"/>
    <xf numFmtId="166" fontId="60" fillId="0" borderId="17" xfId="58" applyNumberFormat="1" applyFont="1" applyBorder="1" applyAlignment="1" applyProtection="1">
      <alignment horizontal="center" vertical="center"/>
      <protection hidden="1"/>
    </xf>
    <xf numFmtId="0" fontId="60" fillId="0" borderId="23" xfId="0" applyFont="1" applyBorder="1" applyAlignment="1" applyProtection="1">
      <alignment horizontal="center" vertical="center"/>
      <protection hidden="1"/>
    </xf>
    <xf numFmtId="0" fontId="45" fillId="3" borderId="4" xfId="0" applyFont="1" applyFill="1" applyBorder="1"/>
    <xf numFmtId="0" fontId="45" fillId="3" borderId="22" xfId="0" applyFont="1" applyFill="1" applyBorder="1"/>
    <xf numFmtId="0" fontId="45" fillId="0" borderId="0" xfId="0" applyFont="1"/>
    <xf numFmtId="0" fontId="47" fillId="3" borderId="0" xfId="132" applyNumberFormat="1" applyFont="1" applyFill="1"/>
    <xf numFmtId="0" fontId="45" fillId="3" borderId="11" xfId="136" applyNumberFormat="1" applyFont="1" applyFill="1" applyBorder="1"/>
    <xf numFmtId="0" fontId="45" fillId="3" borderId="11" xfId="138" applyNumberFormat="1" applyFont="1" applyFill="1" applyBorder="1"/>
    <xf numFmtId="0" fontId="47" fillId="3" borderId="1" xfId="140" applyNumberFormat="1" applyFont="1" applyFill="1" applyBorder="1"/>
    <xf numFmtId="0" fontId="45" fillId="3" borderId="11" xfId="141" applyNumberFormat="1" applyFont="1" applyFill="1" applyBorder="1"/>
    <xf numFmtId="0" fontId="45" fillId="3" borderId="4" xfId="133" applyNumberFormat="1" applyFont="1" applyFill="1" applyBorder="1" applyAlignment="1">
      <alignment horizontal="center"/>
    </xf>
    <xf numFmtId="0" fontId="45" fillId="3" borderId="14" xfId="133" applyNumberFormat="1" applyFont="1" applyFill="1" applyBorder="1" applyAlignment="1">
      <alignment horizontal="center"/>
    </xf>
    <xf numFmtId="0" fontId="45" fillId="3" borderId="4" xfId="143" applyNumberFormat="1" applyFont="1" applyFill="1" applyBorder="1" applyAlignment="1">
      <alignment horizontal="center"/>
    </xf>
    <xf numFmtId="0" fontId="45" fillId="3" borderId="14" xfId="143" applyNumberFormat="1" applyFont="1" applyFill="1" applyBorder="1" applyAlignment="1">
      <alignment horizontal="center"/>
    </xf>
    <xf numFmtId="2" fontId="0" fillId="0" borderId="0" xfId="115" applyNumberFormat="1" applyFont="1"/>
    <xf numFmtId="0" fontId="45" fillId="3" borderId="11" xfId="133" applyNumberFormat="1" applyFont="1" applyFill="1" applyBorder="1" applyAlignment="1">
      <alignment horizontal="center"/>
    </xf>
    <xf numFmtId="37" fontId="0" fillId="5" borderId="3" xfId="4" applyNumberFormat="1" applyFont="1" applyFill="1" applyBorder="1" applyAlignment="1" applyProtection="1">
      <protection locked="0"/>
    </xf>
    <xf numFmtId="37" fontId="0" fillId="5" borderId="3" xfId="4" applyNumberFormat="1" applyFont="1" applyFill="1" applyBorder="1" applyProtection="1">
      <protection locked="0"/>
    </xf>
    <xf numFmtId="9" fontId="0" fillId="5" borderId="3" xfId="4" applyNumberFormat="1" applyFont="1" applyFill="1" applyBorder="1" applyAlignment="1" applyProtection="1">
      <protection locked="0"/>
    </xf>
    <xf numFmtId="0" fontId="100" fillId="0" borderId="0" xfId="0" applyFont="1" applyAlignment="1" applyProtection="1">
      <alignment horizontal="left"/>
      <protection hidden="1"/>
    </xf>
    <xf numFmtId="0" fontId="71" fillId="0" borderId="0" xfId="0" applyFont="1" applyAlignment="1" applyProtection="1">
      <alignment horizontal="left" vertical="center"/>
      <protection hidden="1"/>
    </xf>
    <xf numFmtId="0" fontId="123" fillId="0" borderId="0" xfId="0" applyFont="1" applyAlignment="1" applyProtection="1">
      <alignment horizontal="left" vertical="center"/>
      <protection hidden="1"/>
    </xf>
    <xf numFmtId="0" fontId="124" fillId="0" borderId="0" xfId="0" applyFont="1" applyAlignment="1" applyProtection="1">
      <alignment vertical="center"/>
      <protection hidden="1"/>
    </xf>
    <xf numFmtId="0" fontId="125" fillId="0" borderId="0" xfId="0" applyFont="1" applyAlignment="1" applyProtection="1">
      <alignment horizontal="left" vertical="center" wrapText="1"/>
      <protection hidden="1"/>
    </xf>
    <xf numFmtId="0" fontId="125" fillId="0" borderId="3" xfId="0" applyFont="1" applyBorder="1" applyAlignment="1" applyProtection="1">
      <alignment horizontal="left" vertical="center" wrapText="1"/>
      <protection hidden="1"/>
    </xf>
    <xf numFmtId="0" fontId="125" fillId="0" borderId="0" xfId="0" applyFont="1" applyAlignment="1" applyProtection="1">
      <alignment vertical="center" wrapText="1"/>
      <protection hidden="1"/>
    </xf>
    <xf numFmtId="0" fontId="125" fillId="0" borderId="0" xfId="0" applyFont="1" applyAlignment="1" applyProtection="1">
      <alignment vertical="center"/>
      <protection hidden="1"/>
    </xf>
    <xf numFmtId="0" fontId="126" fillId="0" borderId="0" xfId="0" applyFont="1"/>
    <xf numFmtId="0" fontId="73" fillId="0" borderId="2" xfId="0" applyFont="1" applyBorder="1" applyAlignment="1" applyProtection="1">
      <alignment horizontal="right"/>
      <protection hidden="1"/>
    </xf>
    <xf numFmtId="0" fontId="73" fillId="0" borderId="2" xfId="0" applyFont="1" applyBorder="1" applyProtection="1">
      <protection hidden="1"/>
    </xf>
    <xf numFmtId="0" fontId="47" fillId="3" borderId="11" xfId="133" applyNumberFormat="1" applyFont="1" applyFill="1" applyBorder="1" applyAlignment="1">
      <alignment horizontal="center"/>
    </xf>
    <xf numFmtId="0" fontId="0" fillId="0" borderId="12" xfId="133" applyNumberFormat="1" applyFont="1" applyBorder="1"/>
    <xf numFmtId="0" fontId="15" fillId="0" borderId="2" xfId="0" applyFont="1" applyBorder="1" applyAlignment="1" applyProtection="1">
      <alignment horizontal="left" vertical="center"/>
      <protection hidden="1"/>
    </xf>
    <xf numFmtId="180" fontId="0" fillId="5" borderId="3" xfId="0" applyNumberFormat="1" applyFill="1" applyBorder="1" applyAlignment="1" applyProtection="1">
      <alignment horizontal="center"/>
      <protection locked="0"/>
    </xf>
    <xf numFmtId="37" fontId="0" fillId="5" borderId="3" xfId="4" applyNumberFormat="1" applyFont="1" applyFill="1" applyBorder="1" applyAlignment="1" applyProtection="1">
      <alignment horizontal="center"/>
      <protection locked="0"/>
    </xf>
    <xf numFmtId="0" fontId="0" fillId="0" borderId="0" xfId="0" applyAlignment="1">
      <alignment wrapText="1"/>
    </xf>
    <xf numFmtId="3" fontId="60" fillId="5" borderId="3" xfId="0" applyNumberFormat="1" applyFont="1" applyFill="1" applyBorder="1" applyAlignment="1" applyProtection="1">
      <alignment horizontal="center"/>
      <protection locked="0"/>
    </xf>
    <xf numFmtId="0" fontId="66" fillId="0" borderId="0" xfId="0" applyFont="1" applyProtection="1">
      <protection hidden="1"/>
    </xf>
    <xf numFmtId="0" fontId="45" fillId="3" borderId="14" xfId="0" applyFont="1" applyFill="1" applyBorder="1"/>
    <xf numFmtId="0" fontId="59" fillId="3" borderId="28" xfId="0" applyFont="1" applyFill="1" applyBorder="1" applyAlignment="1" applyProtection="1">
      <alignment horizontal="center" vertical="center" wrapText="1"/>
      <protection hidden="1"/>
    </xf>
    <xf numFmtId="0" fontId="59" fillId="3" borderId="11" xfId="0" applyFont="1" applyFill="1" applyBorder="1" applyAlignment="1" applyProtection="1">
      <alignment horizontal="center" vertical="center" wrapText="1"/>
      <protection hidden="1"/>
    </xf>
    <xf numFmtId="0" fontId="59" fillId="3" borderId="26" xfId="0" applyFont="1" applyFill="1" applyBorder="1" applyAlignment="1" applyProtection="1">
      <alignment horizontal="center" vertical="center" wrapText="1"/>
      <protection hidden="1"/>
    </xf>
    <xf numFmtId="0" fontId="60" fillId="0" borderId="21" xfId="0" applyFont="1" applyBorder="1" applyAlignment="1" applyProtection="1">
      <alignment horizontal="center" vertical="center"/>
      <protection hidden="1"/>
    </xf>
    <xf numFmtId="166" fontId="60" fillId="0" borderId="21" xfId="58" applyNumberFormat="1" applyFont="1" applyBorder="1" applyAlignment="1" applyProtection="1">
      <alignment horizontal="center" vertical="center"/>
      <protection hidden="1"/>
    </xf>
    <xf numFmtId="166" fontId="60" fillId="0" borderId="19" xfId="58" applyNumberFormat="1" applyFont="1" applyBorder="1" applyAlignment="1" applyProtection="1">
      <alignment horizontal="center" vertical="center"/>
      <protection hidden="1"/>
    </xf>
    <xf numFmtId="49" fontId="107" fillId="0" borderId="7" xfId="0" applyNumberFormat="1" applyFont="1" applyBorder="1" applyAlignment="1" applyProtection="1">
      <alignment vertical="center"/>
      <protection hidden="1"/>
    </xf>
    <xf numFmtId="49" fontId="107" fillId="0" borderId="0" xfId="0" applyNumberFormat="1" applyFont="1" applyAlignment="1" applyProtection="1">
      <alignment vertical="center"/>
      <protection hidden="1"/>
    </xf>
    <xf numFmtId="49" fontId="107" fillId="0" borderId="8" xfId="0" applyNumberFormat="1" applyFont="1" applyBorder="1" applyAlignment="1" applyProtection="1">
      <alignment vertical="center"/>
      <protection hidden="1"/>
    </xf>
    <xf numFmtId="0" fontId="59" fillId="0" borderId="0" xfId="0" applyFont="1" applyAlignment="1" applyProtection="1">
      <alignment horizontal="center" vertical="center" wrapText="1"/>
      <protection hidden="1"/>
    </xf>
    <xf numFmtId="166" fontId="60" fillId="0" borderId="0" xfId="58" applyNumberFormat="1" applyFont="1" applyFill="1" applyBorder="1" applyAlignment="1" applyProtection="1">
      <alignment horizontal="center" vertical="center"/>
      <protection hidden="1"/>
    </xf>
    <xf numFmtId="0" fontId="45" fillId="3" borderId="2" xfId="0" applyFont="1" applyFill="1" applyBorder="1"/>
    <xf numFmtId="0" fontId="128" fillId="0" borderId="0" xfId="0" applyFont="1"/>
    <xf numFmtId="0" fontId="129" fillId="0" borderId="0" xfId="0" applyFont="1" applyAlignment="1">
      <alignment vertical="top" wrapText="1"/>
    </xf>
    <xf numFmtId="0" fontId="130" fillId="0" borderId="0" xfId="0" applyFont="1" applyAlignment="1" applyProtection="1">
      <alignment horizontal="left" vertical="top"/>
      <protection hidden="1"/>
    </xf>
    <xf numFmtId="0" fontId="126" fillId="0" borderId="0" xfId="0" applyFont="1" applyAlignment="1">
      <alignment wrapText="1"/>
    </xf>
    <xf numFmtId="0" fontId="125" fillId="0" borderId="0" xfId="0" applyFont="1" applyAlignment="1" applyProtection="1">
      <alignment horizontal="left"/>
      <protection hidden="1"/>
    </xf>
    <xf numFmtId="0" fontId="132" fillId="0" borderId="0" xfId="0" applyFont="1" applyAlignment="1" applyProtection="1">
      <alignment vertical="center"/>
      <protection hidden="1"/>
    </xf>
    <xf numFmtId="0" fontId="0" fillId="0" borderId="0" xfId="0" applyAlignment="1" applyProtection="1">
      <alignment horizontal="center" vertical="center"/>
      <protection hidden="1"/>
    </xf>
    <xf numFmtId="0" fontId="0" fillId="0" borderId="5" xfId="0" applyBorder="1" applyAlignment="1" applyProtection="1">
      <alignment horizontal="center" vertical="center"/>
      <protection hidden="1"/>
    </xf>
    <xf numFmtId="3" fontId="0" fillId="5" borderId="3" xfId="0" applyNumberFormat="1" applyFill="1" applyBorder="1" applyAlignment="1" applyProtection="1">
      <alignment horizontal="center"/>
      <protection locked="0"/>
    </xf>
    <xf numFmtId="0" fontId="0" fillId="0" borderId="0" xfId="0" applyAlignment="1">
      <alignment horizontal="center" vertical="center"/>
    </xf>
    <xf numFmtId="0" fontId="94" fillId="8" borderId="0" xfId="0" applyFont="1" applyFill="1" applyAlignment="1" applyProtection="1">
      <alignment horizontal="center" vertical="top"/>
      <protection hidden="1"/>
    </xf>
    <xf numFmtId="3" fontId="0" fillId="5" borderId="3" xfId="0" applyNumberFormat="1" applyFill="1" applyBorder="1" applyProtection="1">
      <protection locked="0"/>
    </xf>
    <xf numFmtId="166" fontId="60" fillId="5" borderId="3" xfId="58" applyNumberFormat="1" applyFont="1" applyFill="1" applyBorder="1" applyAlignment="1" applyProtection="1">
      <alignment horizontal="center"/>
      <protection locked="0"/>
    </xf>
    <xf numFmtId="49" fontId="2" fillId="0" borderId="0" xfId="0" applyNumberFormat="1" applyFont="1" applyAlignment="1" applyProtection="1">
      <alignment horizontal="right" vertical="top"/>
      <protection hidden="1"/>
    </xf>
    <xf numFmtId="49" fontId="6" fillId="0" borderId="2" xfId="0" applyNumberFormat="1" applyFont="1" applyBorder="1" applyAlignment="1" applyProtection="1">
      <alignment vertical="center"/>
      <protection hidden="1"/>
    </xf>
    <xf numFmtId="0" fontId="133" fillId="0" borderId="0" xfId="0" applyFont="1" applyAlignment="1" applyProtection="1">
      <alignment horizontal="left" vertical="center"/>
      <protection hidden="1"/>
    </xf>
    <xf numFmtId="0" fontId="134" fillId="0" borderId="0" xfId="0" applyFont="1" applyProtection="1">
      <protection hidden="1"/>
    </xf>
    <xf numFmtId="0" fontId="117" fillId="0" borderId="0" xfId="0" applyFont="1" applyAlignment="1" applyProtection="1">
      <alignment vertical="center"/>
      <protection hidden="1"/>
    </xf>
    <xf numFmtId="0" fontId="135" fillId="0" borderId="0" xfId="0" applyFont="1" applyProtection="1">
      <protection hidden="1"/>
    </xf>
    <xf numFmtId="0" fontId="76" fillId="0" borderId="0" xfId="0" applyFont="1" applyProtection="1">
      <protection hidden="1"/>
    </xf>
    <xf numFmtId="0" fontId="4" fillId="0" borderId="0" xfId="0" applyFont="1" applyAlignment="1" applyProtection="1">
      <alignment horizontal="center" vertical="center"/>
      <protection hidden="1"/>
    </xf>
    <xf numFmtId="0" fontId="60" fillId="0" borderId="0" xfId="0" applyFont="1" applyProtection="1">
      <protection hidden="1"/>
    </xf>
    <xf numFmtId="0" fontId="2" fillId="0" borderId="0" xfId="0" applyFont="1" applyAlignment="1" applyProtection="1">
      <alignment vertical="top"/>
      <protection hidden="1"/>
    </xf>
    <xf numFmtId="0" fontId="6" fillId="0" borderId="0" xfId="0" applyFont="1" applyProtection="1">
      <protection hidden="1"/>
    </xf>
    <xf numFmtId="0" fontId="60" fillId="0" borderId="0" xfId="0" applyFont="1" applyAlignment="1" applyProtection="1">
      <alignment wrapText="1"/>
      <protection hidden="1"/>
    </xf>
    <xf numFmtId="0" fontId="2" fillId="0" borderId="0" xfId="0" applyFont="1" applyAlignment="1" applyProtection="1">
      <alignment vertical="top" wrapText="1"/>
      <protection hidden="1"/>
    </xf>
    <xf numFmtId="49" fontId="6" fillId="0" borderId="0" xfId="0" applyNumberFormat="1" applyFont="1" applyAlignment="1" applyProtection="1">
      <alignment vertical="center"/>
      <protection hidden="1"/>
    </xf>
    <xf numFmtId="49" fontId="6" fillId="8" borderId="2" xfId="0" applyNumberFormat="1" applyFont="1" applyFill="1" applyBorder="1" applyAlignment="1" applyProtection="1">
      <alignment vertical="center"/>
      <protection hidden="1"/>
    </xf>
    <xf numFmtId="49" fontId="118" fillId="0" borderId="0" xfId="126" applyNumberFormat="1" applyFont="1" applyProtection="1">
      <protection hidden="1"/>
    </xf>
    <xf numFmtId="49" fontId="73" fillId="0" borderId="0" xfId="0" applyNumberFormat="1" applyFont="1" applyProtection="1">
      <protection hidden="1"/>
    </xf>
    <xf numFmtId="49" fontId="73" fillId="0" borderId="2" xfId="0" applyNumberFormat="1" applyFont="1" applyBorder="1" applyAlignment="1" applyProtection="1">
      <alignment horizontal="right"/>
      <protection hidden="1"/>
    </xf>
    <xf numFmtId="49" fontId="52" fillId="5" borderId="3" xfId="0" applyNumberFormat="1" applyFont="1" applyFill="1" applyBorder="1" applyProtection="1">
      <protection hidden="1"/>
    </xf>
    <xf numFmtId="0" fontId="117" fillId="0" borderId="0" xfId="0" applyFont="1" applyAlignment="1" applyProtection="1">
      <alignment horizontal="center" vertical="center" wrapText="1"/>
      <protection hidden="1"/>
    </xf>
    <xf numFmtId="0" fontId="117" fillId="0" borderId="0" xfId="0" applyFont="1" applyAlignment="1" applyProtection="1">
      <alignment horizontal="center" vertical="center"/>
      <protection hidden="1"/>
    </xf>
    <xf numFmtId="168" fontId="0" fillId="8" borderId="0" xfId="4" applyNumberFormat="1" applyFont="1" applyFill="1" applyBorder="1" applyAlignment="1" applyProtection="1">
      <protection hidden="1"/>
    </xf>
    <xf numFmtId="168" fontId="0" fillId="0" borderId="0" xfId="4" applyNumberFormat="1" applyFont="1" applyFill="1" applyBorder="1" applyAlignment="1" applyProtection="1">
      <protection hidden="1"/>
    </xf>
    <xf numFmtId="0" fontId="122" fillId="0" borderId="0" xfId="0" applyFont="1" applyProtection="1">
      <protection hidden="1"/>
    </xf>
    <xf numFmtId="0" fontId="0" fillId="0" borderId="0" xfId="0" applyAlignment="1" applyProtection="1">
      <alignment horizontal="left" wrapText="1"/>
      <protection hidden="1"/>
    </xf>
    <xf numFmtId="169" fontId="0" fillId="0" borderId="0" xfId="4" applyNumberFormat="1" applyFont="1" applyFill="1" applyBorder="1" applyAlignment="1" applyProtection="1">
      <protection hidden="1"/>
    </xf>
    <xf numFmtId="0" fontId="0" fillId="8" borderId="0" xfId="0" applyFill="1" applyAlignment="1" applyProtection="1">
      <alignment horizontal="left"/>
      <protection hidden="1"/>
    </xf>
    <xf numFmtId="0" fontId="0" fillId="0" borderId="0" xfId="0" quotePrefix="1" applyProtection="1">
      <protection hidden="1"/>
    </xf>
    <xf numFmtId="0" fontId="0" fillId="0" borderId="0" xfId="0" quotePrefix="1" applyAlignment="1" applyProtection="1">
      <alignment vertical="top"/>
      <protection hidden="1"/>
    </xf>
    <xf numFmtId="170" fontId="0" fillId="0" borderId="0" xfId="0" applyNumberFormat="1" applyProtection="1">
      <protection hidden="1"/>
    </xf>
    <xf numFmtId="169" fontId="0" fillId="0" borderId="0" xfId="4" applyNumberFormat="1" applyFont="1" applyFill="1" applyBorder="1" applyProtection="1">
      <protection hidden="1"/>
    </xf>
    <xf numFmtId="1" fontId="0" fillId="0" borderId="0" xfId="0" applyNumberFormat="1"/>
    <xf numFmtId="0" fontId="47" fillId="0" borderId="0" xfId="0" applyFont="1" applyAlignment="1">
      <alignment horizontal="right"/>
    </xf>
    <xf numFmtId="3" fontId="0" fillId="5" borderId="3" xfId="0" applyNumberFormat="1" applyFill="1" applyBorder="1" applyProtection="1">
      <protection locked="0" hidden="1"/>
    </xf>
    <xf numFmtId="0" fontId="0" fillId="5" borderId="3" xfId="0" applyFill="1" applyBorder="1" applyProtection="1">
      <protection locked="0" hidden="1"/>
    </xf>
    <xf numFmtId="0" fontId="0" fillId="0" borderId="13" xfId="0" quotePrefix="1" applyBorder="1"/>
    <xf numFmtId="0" fontId="0" fillId="0" borderId="1" xfId="0" quotePrefix="1" applyBorder="1"/>
    <xf numFmtId="0" fontId="47" fillId="0" borderId="0" xfId="0" applyFont="1" applyProtection="1">
      <protection hidden="1"/>
    </xf>
    <xf numFmtId="3" fontId="0" fillId="5" borderId="3" xfId="4" applyNumberFormat="1" applyFont="1" applyFill="1" applyBorder="1" applyAlignment="1" applyProtection="1">
      <alignment horizontal="center"/>
      <protection locked="0"/>
    </xf>
    <xf numFmtId="4" fontId="0" fillId="5" borderId="3" xfId="0" applyNumberFormat="1" applyFill="1" applyBorder="1" applyAlignment="1" applyProtection="1">
      <alignment horizontal="center"/>
      <protection locked="0"/>
    </xf>
    <xf numFmtId="180" fontId="0" fillId="5" borderId="3" xfId="0" applyNumberFormat="1" applyFill="1" applyBorder="1" applyProtection="1">
      <protection locked="0" hidden="1"/>
    </xf>
    <xf numFmtId="4" fontId="0" fillId="5" borderId="3" xfId="0" applyNumberFormat="1" applyFill="1" applyBorder="1" applyProtection="1">
      <protection locked="0" hidden="1"/>
    </xf>
    <xf numFmtId="0" fontId="52" fillId="8" borderId="0" xfId="0" applyFont="1" applyFill="1" applyProtection="1">
      <protection locked="0" hidden="1"/>
    </xf>
    <xf numFmtId="0" fontId="64" fillId="8" borderId="0" xfId="0" applyFont="1" applyFill="1" applyProtection="1">
      <protection hidden="1"/>
    </xf>
    <xf numFmtId="0" fontId="0" fillId="0" borderId="44" xfId="0" applyBorder="1" applyProtection="1">
      <protection hidden="1"/>
    </xf>
    <xf numFmtId="3" fontId="60" fillId="0" borderId="0" xfId="0" applyNumberFormat="1" applyFont="1" applyAlignment="1" applyProtection="1">
      <alignment horizontal="center"/>
      <protection locked="0"/>
    </xf>
    <xf numFmtId="0" fontId="60" fillId="0" borderId="0" xfId="0" applyFont="1" applyAlignment="1">
      <alignment horizontal="left"/>
    </xf>
    <xf numFmtId="0" fontId="47" fillId="0" borderId="0" xfId="0" applyFont="1" applyAlignment="1">
      <alignment horizontal="left"/>
    </xf>
    <xf numFmtId="0" fontId="60" fillId="0" borderId="0" xfId="0" applyFont="1" applyAlignment="1">
      <alignment horizontal="center"/>
    </xf>
    <xf numFmtId="0" fontId="60" fillId="0" borderId="9" xfId="0" applyFont="1" applyBorder="1"/>
    <xf numFmtId="181" fontId="0" fillId="0" borderId="1" xfId="115" applyNumberFormat="1" applyFont="1" applyBorder="1"/>
    <xf numFmtId="0" fontId="82" fillId="8" borderId="0" xfId="0" applyFont="1" applyFill="1" applyProtection="1">
      <protection hidden="1"/>
    </xf>
    <xf numFmtId="0" fontId="82" fillId="8" borderId="0" xfId="0" applyFont="1" applyFill="1" applyAlignment="1" applyProtection="1">
      <alignment horizontal="center" vertical="center"/>
      <protection hidden="1"/>
    </xf>
    <xf numFmtId="0" fontId="60" fillId="0" borderId="1" xfId="0" applyFont="1" applyBorder="1"/>
    <xf numFmtId="0" fontId="60" fillId="0" borderId="17" xfId="0" applyFont="1" applyBorder="1"/>
    <xf numFmtId="0" fontId="60" fillId="0" borderId="18" xfId="0" applyFont="1" applyBorder="1"/>
    <xf numFmtId="0" fontId="60" fillId="0" borderId="13" xfId="0" applyFont="1" applyBorder="1"/>
    <xf numFmtId="0" fontId="60" fillId="0" borderId="27" xfId="0" applyFont="1" applyBorder="1"/>
    <xf numFmtId="0" fontId="47" fillId="3" borderId="63" xfId="0" applyFont="1" applyFill="1" applyBorder="1" applyAlignment="1">
      <alignment horizontal="center"/>
    </xf>
    <xf numFmtId="0" fontId="60" fillId="0" borderId="10" xfId="0" applyFont="1" applyBorder="1"/>
    <xf numFmtId="0" fontId="47" fillId="3" borderId="62" xfId="0" applyFont="1" applyFill="1" applyBorder="1" applyAlignment="1">
      <alignment horizontal="center"/>
    </xf>
    <xf numFmtId="170" fontId="47" fillId="3" borderId="64" xfId="0" applyNumberFormat="1" applyFont="1" applyFill="1" applyBorder="1" applyAlignment="1">
      <alignment horizontal="center"/>
    </xf>
    <xf numFmtId="170" fontId="47" fillId="3" borderId="65" xfId="0" applyNumberFormat="1" applyFont="1" applyFill="1" applyBorder="1" applyAlignment="1">
      <alignment horizontal="center"/>
    </xf>
    <xf numFmtId="170" fontId="47" fillId="3" borderId="64" xfId="58" applyNumberFormat="1" applyFont="1" applyFill="1" applyBorder="1" applyAlignment="1">
      <alignment horizontal="center"/>
    </xf>
    <xf numFmtId="2" fontId="60" fillId="0" borderId="13" xfId="58" applyNumberFormat="1" applyFont="1" applyFill="1" applyBorder="1"/>
    <xf numFmtId="2" fontId="60" fillId="0" borderId="13" xfId="0" applyNumberFormat="1" applyFont="1" applyBorder="1"/>
    <xf numFmtId="2" fontId="60" fillId="0" borderId="1" xfId="58" applyNumberFormat="1" applyFont="1" applyFill="1" applyBorder="1"/>
    <xf numFmtId="2" fontId="60" fillId="0" borderId="17" xfId="0" applyNumberFormat="1" applyFont="1" applyBorder="1"/>
    <xf numFmtId="2" fontId="60" fillId="0" borderId="18" xfId="0" applyNumberFormat="1" applyFont="1" applyBorder="1"/>
    <xf numFmtId="2" fontId="60" fillId="0" borderId="19" xfId="0" applyNumberFormat="1" applyFont="1" applyBorder="1"/>
    <xf numFmtId="170" fontId="47" fillId="3" borderId="68" xfId="0" applyNumberFormat="1" applyFont="1" applyFill="1" applyBorder="1" applyAlignment="1">
      <alignment horizontal="center"/>
    </xf>
    <xf numFmtId="2" fontId="60" fillId="0" borderId="6" xfId="0" applyNumberFormat="1" applyFont="1" applyBorder="1"/>
    <xf numFmtId="2" fontId="60" fillId="0" borderId="22" xfId="0" applyNumberFormat="1" applyFont="1" applyBorder="1"/>
    <xf numFmtId="2" fontId="60" fillId="0" borderId="53" xfId="0" applyNumberFormat="1" applyFont="1" applyBorder="1"/>
    <xf numFmtId="0" fontId="60" fillId="0" borderId="29" xfId="0" applyFont="1" applyBorder="1"/>
    <xf numFmtId="0" fontId="60" fillId="0" borderId="23" xfId="0" applyFont="1" applyBorder="1"/>
    <xf numFmtId="0" fontId="60" fillId="0" borderId="21" xfId="0" applyFont="1" applyBorder="1"/>
    <xf numFmtId="170" fontId="47" fillId="3" borderId="63" xfId="0" applyNumberFormat="1" applyFont="1" applyFill="1" applyBorder="1" applyAlignment="1">
      <alignment horizontal="center"/>
    </xf>
    <xf numFmtId="170" fontId="60" fillId="0" borderId="10" xfId="0" applyNumberFormat="1" applyFont="1" applyBorder="1"/>
    <xf numFmtId="2" fontId="60" fillId="0" borderId="0" xfId="0" applyNumberFormat="1" applyFont="1"/>
    <xf numFmtId="0" fontId="45" fillId="3" borderId="0" xfId="0" applyFont="1" applyFill="1"/>
    <xf numFmtId="0" fontId="60" fillId="0" borderId="0" xfId="0" applyFont="1" applyProtection="1">
      <protection locked="0"/>
    </xf>
    <xf numFmtId="0" fontId="60" fillId="0" borderId="0" xfId="0" applyFont="1" applyAlignment="1" applyProtection="1">
      <alignment horizontal="left"/>
      <protection locked="0"/>
    </xf>
    <xf numFmtId="9" fontId="60" fillId="0" borderId="0" xfId="0" applyNumberFormat="1" applyFont="1" applyAlignment="1">
      <alignment horizontal="center"/>
    </xf>
    <xf numFmtId="10" fontId="60" fillId="0" borderId="0" xfId="0" applyNumberFormat="1" applyFont="1" applyAlignment="1">
      <alignment horizontal="center"/>
    </xf>
    <xf numFmtId="181" fontId="60" fillId="0" borderId="0" xfId="0" applyNumberFormat="1" applyFont="1" applyAlignment="1">
      <alignment horizontal="center"/>
    </xf>
    <xf numFmtId="9" fontId="60" fillId="0" borderId="0" xfId="0" applyNumberFormat="1" applyFont="1"/>
    <xf numFmtId="0" fontId="140" fillId="0" borderId="0" xfId="0" applyFont="1" applyAlignment="1" applyProtection="1">
      <alignment horizontal="right" vertical="center"/>
      <protection hidden="1"/>
    </xf>
    <xf numFmtId="0" fontId="0" fillId="0" borderId="70" xfId="0" applyBorder="1" applyProtection="1">
      <protection hidden="1"/>
    </xf>
    <xf numFmtId="49" fontId="52" fillId="0" borderId="0" xfId="0" applyNumberFormat="1" applyFont="1" applyAlignment="1" applyProtection="1">
      <alignment horizontal="right"/>
      <protection hidden="1"/>
    </xf>
    <xf numFmtId="49" fontId="52" fillId="0" borderId="0" xfId="0" applyNumberFormat="1" applyFont="1" applyProtection="1">
      <protection hidden="1"/>
    </xf>
    <xf numFmtId="0" fontId="52" fillId="0" borderId="0" xfId="0" quotePrefix="1" applyFont="1" applyProtection="1">
      <protection hidden="1"/>
    </xf>
    <xf numFmtId="0" fontId="5" fillId="0" borderId="0" xfId="0" applyFont="1" applyAlignment="1" applyProtection="1">
      <alignment horizontal="right"/>
      <protection hidden="1"/>
    </xf>
    <xf numFmtId="0" fontId="5" fillId="0" borderId="0" xfId="0" applyFont="1" applyAlignment="1" applyProtection="1">
      <alignment horizontal="right" vertical="center"/>
      <protection hidden="1"/>
    </xf>
    <xf numFmtId="0" fontId="45" fillId="26" borderId="0" xfId="0" applyFont="1" applyFill="1" applyProtection="1">
      <protection hidden="1"/>
    </xf>
    <xf numFmtId="2" fontId="0" fillId="0" borderId="0" xfId="0" applyNumberFormat="1" applyProtection="1">
      <protection hidden="1"/>
    </xf>
    <xf numFmtId="1" fontId="60" fillId="5" borderId="3" xfId="115" applyNumberFormat="1" applyFont="1" applyFill="1" applyBorder="1" applyAlignment="1" applyProtection="1">
      <alignment horizontal="center"/>
      <protection locked="0"/>
    </xf>
    <xf numFmtId="1" fontId="0" fillId="0" borderId="0" xfId="0" applyNumberFormat="1" applyProtection="1">
      <protection hidden="1"/>
    </xf>
    <xf numFmtId="0" fontId="138" fillId="0" borderId="0" xfId="0" applyFont="1" applyAlignment="1" applyProtection="1">
      <alignment vertical="center" wrapText="1"/>
      <protection hidden="1"/>
    </xf>
    <xf numFmtId="0" fontId="48" fillId="0" borderId="0" xfId="105" applyAlignment="1" applyProtection="1">
      <protection hidden="1"/>
    </xf>
    <xf numFmtId="0" fontId="60" fillId="0" borderId="0" xfId="0" applyFont="1" applyAlignment="1">
      <alignment horizontal="right"/>
    </xf>
    <xf numFmtId="8" fontId="60" fillId="0" borderId="0" xfId="0" applyNumberFormat="1" applyFont="1" applyAlignment="1">
      <alignment horizontal="left"/>
    </xf>
    <xf numFmtId="6" fontId="60" fillId="0" borderId="0" xfId="0" applyNumberFormat="1" applyFont="1" applyAlignment="1">
      <alignment horizontal="left"/>
    </xf>
    <xf numFmtId="0" fontId="52" fillId="0" borderId="0" xfId="0" applyFont="1" applyAlignment="1" applyProtection="1">
      <alignment horizontal="left" vertical="top"/>
      <protection hidden="1"/>
    </xf>
    <xf numFmtId="0" fontId="149" fillId="0" borderId="0" xfId="0" applyFont="1" applyAlignment="1" applyProtection="1">
      <alignment horizontal="left" vertical="top"/>
      <protection hidden="1"/>
    </xf>
    <xf numFmtId="0" fontId="150" fillId="0" borderId="0" xfId="0" applyFont="1" applyAlignment="1" applyProtection="1">
      <alignment horizontal="left" vertical="top"/>
      <protection hidden="1"/>
    </xf>
    <xf numFmtId="0" fontId="151" fillId="0" borderId="0" xfId="0" applyFont="1" applyAlignment="1" applyProtection="1">
      <alignment horizontal="right" vertical="top"/>
      <protection hidden="1"/>
    </xf>
    <xf numFmtId="0" fontId="151" fillId="0" borderId="0" xfId="0" applyFont="1" applyAlignment="1" applyProtection="1">
      <alignment horizontal="left" vertical="top"/>
      <protection hidden="1"/>
    </xf>
    <xf numFmtId="0" fontId="151" fillId="0" borderId="0" xfId="0" applyFont="1" applyAlignment="1" applyProtection="1">
      <alignment horizontal="left" vertical="top" wrapText="1"/>
      <protection hidden="1"/>
    </xf>
    <xf numFmtId="0" fontId="23" fillId="0" borderId="0" xfId="0" applyFont="1" applyAlignment="1" applyProtection="1">
      <alignment vertical="center"/>
      <protection hidden="1"/>
    </xf>
    <xf numFmtId="0" fontId="52" fillId="5" borderId="1" xfId="0" applyFont="1" applyFill="1" applyBorder="1" applyAlignment="1" applyProtection="1">
      <alignment horizontal="center" vertical="center" wrapText="1"/>
      <protection locked="0"/>
    </xf>
    <xf numFmtId="0" fontId="152" fillId="0" borderId="0" xfId="0" applyFont="1" applyAlignment="1" applyProtection="1">
      <alignment horizontal="left" vertical="center" wrapText="1"/>
      <protection hidden="1"/>
    </xf>
    <xf numFmtId="0" fontId="52" fillId="0" borderId="0" xfId="0" applyFont="1" applyAlignment="1" applyProtection="1">
      <alignment horizontal="left" vertical="center"/>
      <protection hidden="1"/>
    </xf>
    <xf numFmtId="0" fontId="0" fillId="5" borderId="1" xfId="0" applyFill="1" applyBorder="1" applyProtection="1">
      <protection locked="0"/>
    </xf>
    <xf numFmtId="0" fontId="52" fillId="0" borderId="0" xfId="0" applyFont="1" applyAlignment="1" applyProtection="1">
      <alignment horizontal="center" vertical="top"/>
      <protection hidden="1"/>
    </xf>
    <xf numFmtId="0" fontId="136" fillId="0" borderId="0" xfId="105" applyFont="1" applyAlignment="1" applyProtection="1">
      <alignment horizontal="left" vertical="top"/>
      <protection hidden="1"/>
    </xf>
    <xf numFmtId="0" fontId="2" fillId="0" borderId="0" xfId="0" applyFont="1" applyAlignment="1" applyProtection="1">
      <alignment horizontal="center" vertical="top"/>
      <protection hidden="1"/>
    </xf>
    <xf numFmtId="0" fontId="52" fillId="0" borderId="0" xfId="0" applyFont="1" applyAlignment="1" applyProtection="1">
      <alignment horizontal="right" vertical="top"/>
      <protection hidden="1"/>
    </xf>
    <xf numFmtId="0" fontId="136" fillId="0" borderId="0" xfId="106" applyFont="1" applyAlignment="1" applyProtection="1">
      <alignment vertical="top"/>
      <protection hidden="1"/>
    </xf>
    <xf numFmtId="0" fontId="94" fillId="0" borderId="0" xfId="0" applyFont="1" applyAlignment="1" applyProtection="1">
      <alignment vertical="top"/>
      <protection hidden="1"/>
    </xf>
    <xf numFmtId="0" fontId="94" fillId="0" borderId="0" xfId="0" applyFont="1" applyAlignment="1" applyProtection="1">
      <alignment horizontal="right" vertical="top"/>
      <protection hidden="1"/>
    </xf>
    <xf numFmtId="0" fontId="4" fillId="0" borderId="0" xfId="0" applyFont="1" applyAlignment="1" applyProtection="1">
      <alignment vertical="top"/>
      <protection hidden="1"/>
    </xf>
    <xf numFmtId="0" fontId="154" fillId="0" borderId="0" xfId="0" applyFont="1" applyAlignment="1" applyProtection="1">
      <alignment vertical="top"/>
      <protection hidden="1"/>
    </xf>
    <xf numFmtId="0" fontId="76" fillId="0" borderId="0" xfId="0" applyFont="1" applyAlignment="1" applyProtection="1">
      <alignment vertical="top"/>
      <protection hidden="1"/>
    </xf>
    <xf numFmtId="0" fontId="10" fillId="0" borderId="0" xfId="0" applyFont="1" applyAlignment="1" applyProtection="1">
      <alignment vertical="top"/>
      <protection hidden="1"/>
    </xf>
    <xf numFmtId="0" fontId="17" fillId="0" borderId="0" xfId="0" applyFont="1" applyAlignment="1" applyProtection="1">
      <alignment vertical="top"/>
      <protection hidden="1"/>
    </xf>
    <xf numFmtId="0" fontId="2" fillId="0" borderId="0" xfId="0" applyFont="1" applyAlignment="1" applyProtection="1">
      <alignment horizontal="right" vertical="top"/>
      <protection hidden="1"/>
    </xf>
    <xf numFmtId="0" fontId="94" fillId="0" borderId="0" xfId="0" applyFont="1" applyAlignment="1" applyProtection="1">
      <alignment horizontal="left" vertical="center" indent="5"/>
      <protection hidden="1"/>
    </xf>
    <xf numFmtId="0" fontId="73" fillId="0" borderId="0" xfId="0" applyFont="1" applyAlignment="1" applyProtection="1">
      <alignment horizontal="left" vertical="center" indent="5"/>
      <protection hidden="1"/>
    </xf>
    <xf numFmtId="0" fontId="0" fillId="0" borderId="0" xfId="0" applyAlignment="1" applyProtection="1">
      <alignment vertical="top"/>
      <protection hidden="1"/>
    </xf>
    <xf numFmtId="0" fontId="97" fillId="26" borderId="44" xfId="0" applyFont="1" applyFill="1" applyBorder="1" applyAlignment="1" applyProtection="1">
      <alignment horizontal="left" vertical="center"/>
      <protection hidden="1"/>
    </xf>
    <xf numFmtId="0" fontId="58" fillId="27" borderId="0" xfId="0" applyFont="1" applyFill="1" applyAlignment="1" applyProtection="1">
      <alignment vertical="center"/>
      <protection hidden="1"/>
    </xf>
    <xf numFmtId="0" fontId="55" fillId="27" borderId="0" xfId="0" applyFont="1" applyFill="1" applyAlignment="1" applyProtection="1">
      <alignment vertical="center"/>
      <protection hidden="1"/>
    </xf>
    <xf numFmtId="0" fontId="74" fillId="26" borderId="0" xfId="0" applyFont="1" applyFill="1" applyProtection="1">
      <protection hidden="1"/>
    </xf>
    <xf numFmtId="0" fontId="160" fillId="26" borderId="0" xfId="0" applyFont="1" applyFill="1" applyAlignment="1" applyProtection="1">
      <alignment vertical="center"/>
      <protection hidden="1"/>
    </xf>
    <xf numFmtId="0" fontId="97" fillId="26" borderId="44" xfId="0" applyFont="1" applyFill="1" applyBorder="1" applyAlignment="1" applyProtection="1">
      <alignment vertical="center"/>
      <protection hidden="1"/>
    </xf>
    <xf numFmtId="0" fontId="45" fillId="26" borderId="57" xfId="0" applyFont="1" applyFill="1" applyBorder="1" applyProtection="1">
      <protection hidden="1"/>
    </xf>
    <xf numFmtId="0" fontId="74" fillId="26" borderId="57" xfId="0" applyFont="1" applyFill="1" applyBorder="1" applyAlignment="1" applyProtection="1">
      <alignment vertical="center"/>
      <protection hidden="1"/>
    </xf>
    <xf numFmtId="0" fontId="161" fillId="26" borderId="0" xfId="0" applyFont="1" applyFill="1" applyAlignment="1" applyProtection="1">
      <alignment horizontal="center" vertical="center"/>
      <protection hidden="1"/>
    </xf>
    <xf numFmtId="0" fontId="74" fillId="26" borderId="0" xfId="0" applyFont="1" applyFill="1" applyAlignment="1" applyProtection="1">
      <alignment horizontal="left" vertical="top"/>
      <protection hidden="1"/>
    </xf>
    <xf numFmtId="0" fontId="74" fillId="26" borderId="0" xfId="0" applyFont="1" applyFill="1" applyAlignment="1" applyProtection="1">
      <alignment vertical="top"/>
      <protection hidden="1"/>
    </xf>
    <xf numFmtId="0" fontId="162" fillId="26" borderId="0" xfId="0" applyFont="1" applyFill="1" applyAlignment="1" applyProtection="1">
      <alignment horizontal="center" vertical="center"/>
      <protection hidden="1"/>
    </xf>
    <xf numFmtId="0" fontId="161" fillId="26" borderId="0" xfId="0" applyFont="1" applyFill="1" applyAlignment="1" applyProtection="1">
      <alignment horizontal="center" vertical="top"/>
      <protection hidden="1"/>
    </xf>
    <xf numFmtId="0" fontId="162" fillId="26" borderId="0" xfId="0" applyFont="1" applyFill="1" applyProtection="1">
      <protection hidden="1"/>
    </xf>
    <xf numFmtId="0" fontId="163" fillId="26" borderId="0" xfId="105" applyFont="1" applyFill="1" applyAlignment="1">
      <alignment vertical="center"/>
    </xf>
    <xf numFmtId="0" fontId="164" fillId="26" borderId="0" xfId="0" applyFont="1" applyFill="1" applyAlignment="1" applyProtection="1">
      <alignment horizontal="left" vertical="top" wrapText="1"/>
      <protection hidden="1"/>
    </xf>
    <xf numFmtId="0" fontId="74" fillId="26" borderId="0" xfId="0" applyFont="1" applyFill="1" applyAlignment="1" applyProtection="1">
      <alignment horizontal="left" vertical="top" wrapText="1"/>
      <protection hidden="1"/>
    </xf>
    <xf numFmtId="0" fontId="161" fillId="26" borderId="0" xfId="0" applyFont="1" applyFill="1" applyAlignment="1" applyProtection="1">
      <alignment horizontal="center" vertical="top" wrapText="1"/>
      <protection hidden="1"/>
    </xf>
    <xf numFmtId="0" fontId="45" fillId="26" borderId="0" xfId="0" applyFont="1" applyFill="1" applyAlignment="1" applyProtection="1">
      <alignment wrapText="1"/>
      <protection hidden="1"/>
    </xf>
    <xf numFmtId="0" fontId="74" fillId="26" borderId="0" xfId="0" applyFont="1" applyFill="1" applyAlignment="1" applyProtection="1">
      <alignment vertical="top" wrapText="1"/>
      <protection hidden="1"/>
    </xf>
    <xf numFmtId="0" fontId="48" fillId="0" borderId="3" xfId="105" applyBorder="1" applyAlignment="1" applyProtection="1">
      <alignment vertical="top"/>
      <protection hidden="1"/>
    </xf>
    <xf numFmtId="1" fontId="60" fillId="5" borderId="3" xfId="0" applyNumberFormat="1" applyFont="1" applyFill="1" applyBorder="1" applyAlignment="1" applyProtection="1">
      <alignment horizontal="center"/>
      <protection locked="0"/>
    </xf>
    <xf numFmtId="0" fontId="79" fillId="0" borderId="0" xfId="0" applyFont="1" applyAlignment="1">
      <alignment wrapText="1"/>
    </xf>
    <xf numFmtId="0" fontId="156" fillId="8" borderId="0" xfId="0" applyFont="1" applyFill="1" applyAlignment="1" applyProtection="1">
      <alignment vertical="top"/>
      <protection hidden="1"/>
    </xf>
    <xf numFmtId="0" fontId="115" fillId="8" borderId="0" xfId="0" applyFont="1" applyFill="1" applyAlignment="1" applyProtection="1">
      <alignment vertical="center"/>
      <protection hidden="1"/>
    </xf>
    <xf numFmtId="0" fontId="80" fillId="8" borderId="0" xfId="0" applyFont="1" applyFill="1" applyAlignment="1" applyProtection="1">
      <alignment horizontal="right"/>
      <protection hidden="1"/>
    </xf>
    <xf numFmtId="166" fontId="155" fillId="8" borderId="0" xfId="58" applyNumberFormat="1" applyFont="1" applyFill="1" applyBorder="1" applyAlignment="1" applyProtection="1">
      <alignment horizontal="center"/>
      <protection locked="0"/>
    </xf>
    <xf numFmtId="0" fontId="108" fillId="0" borderId="0" xfId="0" applyFont="1" applyProtection="1">
      <protection hidden="1"/>
    </xf>
    <xf numFmtId="0" fontId="109" fillId="0" borderId="0" xfId="0" applyFont="1" applyAlignment="1" applyProtection="1">
      <alignment vertical="center"/>
      <protection hidden="1"/>
    </xf>
    <xf numFmtId="0" fontId="83" fillId="0" borderId="0" xfId="0" applyFont="1" applyAlignment="1" applyProtection="1">
      <alignment vertical="center"/>
      <protection hidden="1"/>
    </xf>
    <xf numFmtId="0" fontId="61" fillId="8" borderId="0" xfId="0" applyFont="1" applyFill="1" applyProtection="1">
      <protection hidden="1"/>
    </xf>
    <xf numFmtId="0" fontId="61" fillId="8" borderId="0" xfId="0" applyFont="1" applyFill="1" applyAlignment="1" applyProtection="1">
      <alignment vertical="top"/>
      <protection hidden="1"/>
    </xf>
    <xf numFmtId="0" fontId="61" fillId="8" borderId="0" xfId="0" applyFont="1" applyFill="1" applyAlignment="1" applyProtection="1">
      <alignment horizontal="left" vertical="top"/>
      <protection hidden="1"/>
    </xf>
    <xf numFmtId="0" fontId="61" fillId="8" borderId="0" xfId="0" applyFont="1" applyFill="1" applyAlignment="1" applyProtection="1">
      <alignment vertical="center" wrapText="1"/>
      <protection hidden="1"/>
    </xf>
    <xf numFmtId="0" fontId="52" fillId="0" borderId="0" xfId="0" applyFont="1" applyAlignment="1" applyProtection="1">
      <alignment horizontal="center" vertical="center"/>
      <protection hidden="1"/>
    </xf>
    <xf numFmtId="0" fontId="48" fillId="0" borderId="0" xfId="105" applyAlignment="1" applyProtection="1">
      <alignment horizontal="left" vertical="center"/>
      <protection hidden="1"/>
    </xf>
    <xf numFmtId="3" fontId="60" fillId="5" borderId="3" xfId="115" applyNumberFormat="1" applyFont="1" applyFill="1" applyBorder="1" applyAlignment="1" applyProtection="1">
      <alignment horizontal="center"/>
      <protection locked="0"/>
    </xf>
    <xf numFmtId="0" fontId="168" fillId="8" borderId="0" xfId="0" applyFont="1" applyFill="1" applyAlignment="1" applyProtection="1">
      <alignment horizontal="left" vertical="center"/>
      <protection hidden="1"/>
    </xf>
    <xf numFmtId="0" fontId="94" fillId="8" borderId="0" xfId="0" applyFont="1" applyFill="1" applyAlignment="1" applyProtection="1">
      <alignment horizontal="center" vertical="center"/>
      <protection hidden="1"/>
    </xf>
    <xf numFmtId="0" fontId="61" fillId="8" borderId="0" xfId="0" applyFont="1" applyFill="1" applyAlignment="1" applyProtection="1">
      <alignment horizontal="right" vertical="center"/>
      <protection hidden="1"/>
    </xf>
    <xf numFmtId="2" fontId="52" fillId="8" borderId="0" xfId="0" applyNumberFormat="1" applyFont="1" applyFill="1" applyAlignment="1" applyProtection="1">
      <alignment horizontal="center"/>
      <protection hidden="1"/>
    </xf>
    <xf numFmtId="0" fontId="70" fillId="8" borderId="0" xfId="0" applyFont="1" applyFill="1" applyAlignment="1" applyProtection="1">
      <alignment horizontal="center" vertical="center"/>
      <protection hidden="1"/>
    </xf>
    <xf numFmtId="0" fontId="70" fillId="8" borderId="1" xfId="0" applyFont="1" applyFill="1" applyBorder="1" applyAlignment="1" applyProtection="1">
      <alignment horizontal="center" vertical="center"/>
      <protection hidden="1"/>
    </xf>
    <xf numFmtId="0" fontId="94" fillId="8" borderId="0" xfId="0" applyFont="1" applyFill="1" applyAlignment="1" applyProtection="1">
      <alignment vertical="center"/>
      <protection locked="0"/>
    </xf>
    <xf numFmtId="0" fontId="94" fillId="5" borderId="1" xfId="0" applyFont="1" applyFill="1" applyBorder="1" applyAlignment="1" applyProtection="1">
      <alignment horizontal="center" vertical="center" wrapText="1"/>
      <protection locked="0"/>
    </xf>
    <xf numFmtId="0" fontId="94" fillId="5" borderId="1" xfId="0" applyFont="1" applyFill="1" applyBorder="1" applyAlignment="1" applyProtection="1">
      <alignment horizontal="center" vertical="center"/>
      <protection locked="0"/>
    </xf>
    <xf numFmtId="0" fontId="73" fillId="8" borderId="0" xfId="0" applyFont="1" applyFill="1" applyAlignment="1" applyProtection="1">
      <alignment horizontal="left" vertical="center"/>
      <protection hidden="1"/>
    </xf>
    <xf numFmtId="0" fontId="94" fillId="8" borderId="0" xfId="0" applyFont="1" applyFill="1" applyAlignment="1" applyProtection="1">
      <alignment vertical="center" wrapText="1"/>
      <protection locked="0"/>
    </xf>
    <xf numFmtId="0" fontId="70" fillId="8" borderId="0" xfId="0" applyFont="1" applyFill="1" applyAlignment="1" applyProtection="1">
      <alignment vertical="center"/>
      <protection hidden="1"/>
    </xf>
    <xf numFmtId="0" fontId="70" fillId="8" borderId="0" xfId="0" applyFont="1" applyFill="1" applyAlignment="1" applyProtection="1">
      <alignment horizontal="right" vertical="center"/>
      <protection hidden="1"/>
    </xf>
    <xf numFmtId="0" fontId="94" fillId="8" borderId="0" xfId="0" applyFont="1" applyFill="1" applyAlignment="1" applyProtection="1">
      <alignment wrapText="1"/>
      <protection locked="0"/>
    </xf>
    <xf numFmtId="0" fontId="70" fillId="8" borderId="0" xfId="0" applyFont="1" applyFill="1" applyProtection="1">
      <protection hidden="1"/>
    </xf>
    <xf numFmtId="0" fontId="76" fillId="8" borderId="0" xfId="0" applyFont="1" applyFill="1" applyAlignment="1" applyProtection="1">
      <alignment horizontal="right" vertical="center"/>
      <protection hidden="1"/>
    </xf>
    <xf numFmtId="0" fontId="94" fillId="8" borderId="0" xfId="0" applyFont="1" applyFill="1" applyAlignment="1" applyProtection="1">
      <alignment vertical="center" wrapText="1"/>
      <protection hidden="1"/>
    </xf>
    <xf numFmtId="0" fontId="94" fillId="8" borderId="0" xfId="0" applyFont="1" applyFill="1" applyAlignment="1" applyProtection="1">
      <alignment vertical="center"/>
      <protection hidden="1"/>
    </xf>
    <xf numFmtId="0" fontId="70" fillId="8" borderId="0" xfId="0" applyFont="1" applyFill="1" applyAlignment="1" applyProtection="1">
      <alignment horizontal="center"/>
      <protection hidden="1"/>
    </xf>
    <xf numFmtId="0" fontId="94" fillId="8" borderId="0" xfId="0" applyFont="1" applyFill="1" applyAlignment="1" applyProtection="1">
      <alignment horizontal="left" vertical="top"/>
      <protection hidden="1"/>
    </xf>
    <xf numFmtId="0" fontId="70" fillId="8" borderId="1" xfId="0" applyFont="1" applyFill="1" applyBorder="1" applyProtection="1">
      <protection hidden="1"/>
    </xf>
    <xf numFmtId="0" fontId="4" fillId="8" borderId="0" xfId="0" applyFont="1" applyFill="1" applyAlignment="1" applyProtection="1">
      <alignment horizontal="center" vertical="top"/>
      <protection hidden="1"/>
    </xf>
    <xf numFmtId="0" fontId="2" fillId="8" borderId="0" xfId="0" applyFont="1" applyFill="1" applyAlignment="1" applyProtection="1">
      <alignment vertical="top"/>
      <protection hidden="1"/>
    </xf>
    <xf numFmtId="0" fontId="133" fillId="8" borderId="0" xfId="0" applyFont="1" applyFill="1" applyAlignment="1" applyProtection="1">
      <alignment horizontal="left" vertical="center"/>
      <protection hidden="1"/>
    </xf>
    <xf numFmtId="0" fontId="134" fillId="8" borderId="0" xfId="0" applyFont="1" applyFill="1" applyProtection="1">
      <protection hidden="1"/>
    </xf>
    <xf numFmtId="0" fontId="117" fillId="8" borderId="0" xfId="0" applyFont="1" applyFill="1" applyAlignment="1" applyProtection="1">
      <alignment vertical="center"/>
      <protection hidden="1"/>
    </xf>
    <xf numFmtId="0" fontId="4" fillId="8" borderId="0" xfId="0" applyFont="1" applyFill="1" applyAlignment="1" applyProtection="1">
      <alignment horizontal="center" vertical="center"/>
      <protection hidden="1"/>
    </xf>
    <xf numFmtId="0" fontId="2" fillId="8" borderId="0" xfId="0" applyFont="1" applyFill="1" applyAlignment="1" applyProtection="1">
      <alignment horizontal="left" vertical="top"/>
      <protection hidden="1"/>
    </xf>
    <xf numFmtId="0" fontId="60" fillId="8" borderId="0" xfId="0" applyFont="1" applyFill="1" applyProtection="1">
      <protection hidden="1"/>
    </xf>
    <xf numFmtId="0" fontId="2" fillId="8" borderId="0" xfId="0" applyFont="1" applyFill="1" applyProtection="1">
      <protection hidden="1"/>
    </xf>
    <xf numFmtId="0" fontId="17" fillId="8" borderId="85" xfId="0" applyFont="1" applyFill="1" applyBorder="1" applyAlignment="1" applyProtection="1">
      <alignment vertical="center"/>
      <protection hidden="1"/>
    </xf>
    <xf numFmtId="0" fontId="17" fillId="8" borderId="0" xfId="0" applyFont="1" applyFill="1" applyAlignment="1" applyProtection="1">
      <alignment vertical="center"/>
      <protection hidden="1"/>
    </xf>
    <xf numFmtId="0" fontId="17" fillId="8" borderId="80" xfId="0" applyFont="1" applyFill="1" applyBorder="1" applyAlignment="1" applyProtection="1">
      <alignment vertical="center"/>
      <protection hidden="1"/>
    </xf>
    <xf numFmtId="0" fontId="2" fillId="8" borderId="85" xfId="0" applyFont="1" applyFill="1" applyBorder="1" applyProtection="1">
      <protection hidden="1"/>
    </xf>
    <xf numFmtId="0" fontId="2" fillId="8" borderId="75" xfId="0" applyFont="1" applyFill="1" applyBorder="1" applyAlignment="1" applyProtection="1">
      <alignment vertical="center"/>
      <protection hidden="1"/>
    </xf>
    <xf numFmtId="0" fontId="2" fillId="8" borderId="76" xfId="0" applyFont="1" applyFill="1" applyBorder="1" applyAlignment="1" applyProtection="1">
      <alignment vertical="center"/>
      <protection hidden="1"/>
    </xf>
    <xf numFmtId="0" fontId="2" fillId="8" borderId="77" xfId="0" applyFont="1" applyFill="1" applyBorder="1" applyAlignment="1" applyProtection="1">
      <alignment vertical="center"/>
      <protection hidden="1"/>
    </xf>
    <xf numFmtId="0" fontId="2" fillId="8" borderId="75" xfId="0" applyFont="1" applyFill="1" applyBorder="1" applyAlignment="1" applyProtection="1">
      <alignment vertical="center" wrapText="1"/>
      <protection hidden="1"/>
    </xf>
    <xf numFmtId="0" fontId="2" fillId="8" borderId="84" xfId="0" applyFont="1" applyFill="1" applyBorder="1" applyAlignment="1" applyProtection="1">
      <alignment vertical="center"/>
      <protection hidden="1"/>
    </xf>
    <xf numFmtId="0" fontId="2" fillId="8" borderId="79" xfId="0" applyFont="1" applyFill="1" applyBorder="1" applyAlignment="1" applyProtection="1">
      <alignment vertical="center"/>
      <protection hidden="1"/>
    </xf>
    <xf numFmtId="0" fontId="2" fillId="8" borderId="77" xfId="0" applyFont="1" applyFill="1" applyBorder="1" applyProtection="1">
      <protection hidden="1"/>
    </xf>
    <xf numFmtId="0" fontId="2" fillId="8" borderId="75" xfId="0" applyFont="1" applyFill="1" applyBorder="1" applyProtection="1">
      <protection hidden="1"/>
    </xf>
    <xf numFmtId="0" fontId="2" fillId="8" borderId="82" xfId="0" applyFont="1" applyFill="1" applyBorder="1" applyAlignment="1" applyProtection="1">
      <alignment vertical="center"/>
      <protection hidden="1"/>
    </xf>
    <xf numFmtId="0" fontId="2" fillId="8" borderId="80" xfId="0" applyFont="1" applyFill="1" applyBorder="1" applyAlignment="1" applyProtection="1">
      <alignment vertical="center"/>
      <protection hidden="1"/>
    </xf>
    <xf numFmtId="0" fontId="2" fillId="8" borderId="80" xfId="0" applyFont="1" applyFill="1" applyBorder="1" applyProtection="1">
      <protection hidden="1"/>
    </xf>
    <xf numFmtId="0" fontId="17" fillId="8" borderId="86" xfId="0" applyFont="1" applyFill="1" applyBorder="1" applyAlignment="1" applyProtection="1">
      <alignment vertical="center"/>
      <protection hidden="1"/>
    </xf>
    <xf numFmtId="0" fontId="17" fillId="8" borderId="87" xfId="0" applyFont="1" applyFill="1" applyBorder="1" applyAlignment="1" applyProtection="1">
      <alignment vertical="center"/>
      <protection hidden="1"/>
    </xf>
    <xf numFmtId="0" fontId="2" fillId="8" borderId="81" xfId="0" applyFont="1" applyFill="1" applyBorder="1" applyProtection="1">
      <protection hidden="1"/>
    </xf>
    <xf numFmtId="0" fontId="2" fillId="8" borderId="78" xfId="0" applyFont="1" applyFill="1" applyBorder="1" applyProtection="1">
      <protection hidden="1"/>
    </xf>
    <xf numFmtId="0" fontId="2" fillId="8" borderId="82" xfId="0" applyFont="1" applyFill="1" applyBorder="1" applyProtection="1">
      <protection hidden="1"/>
    </xf>
    <xf numFmtId="0" fontId="2" fillId="8" borderId="83" xfId="0" applyFont="1" applyFill="1" applyBorder="1" applyProtection="1">
      <protection hidden="1"/>
    </xf>
    <xf numFmtId="0" fontId="2" fillId="8" borderId="61" xfId="0" applyFont="1" applyFill="1" applyBorder="1" applyProtection="1">
      <protection hidden="1"/>
    </xf>
    <xf numFmtId="0" fontId="2" fillId="8" borderId="84" xfId="0" applyFont="1" applyFill="1" applyBorder="1" applyProtection="1">
      <protection hidden="1"/>
    </xf>
    <xf numFmtId="0" fontId="2" fillId="8" borderId="79" xfId="0" applyFont="1" applyFill="1" applyBorder="1" applyProtection="1">
      <protection hidden="1"/>
    </xf>
    <xf numFmtId="0" fontId="2" fillId="8" borderId="78" xfId="0" applyFont="1" applyFill="1" applyBorder="1" applyAlignment="1" applyProtection="1">
      <alignment vertical="center"/>
      <protection hidden="1"/>
    </xf>
    <xf numFmtId="0" fontId="2" fillId="8" borderId="81" xfId="0" applyFont="1" applyFill="1" applyBorder="1" applyAlignment="1" applyProtection="1">
      <alignment vertical="center"/>
      <protection hidden="1"/>
    </xf>
    <xf numFmtId="2" fontId="2" fillId="8" borderId="81" xfId="0" applyNumberFormat="1" applyFont="1" applyFill="1" applyBorder="1" applyAlignment="1" applyProtection="1">
      <alignment vertical="center"/>
      <protection hidden="1"/>
    </xf>
    <xf numFmtId="2" fontId="2" fillId="8" borderId="78" xfId="0" applyNumberFormat="1" applyFont="1" applyFill="1" applyBorder="1" applyAlignment="1" applyProtection="1">
      <alignment vertical="center"/>
      <protection hidden="1"/>
    </xf>
    <xf numFmtId="0" fontId="2" fillId="8" borderId="85" xfId="0" applyFont="1" applyFill="1" applyBorder="1" applyAlignment="1" applyProtection="1">
      <alignment vertical="center"/>
      <protection hidden="1"/>
    </xf>
    <xf numFmtId="0" fontId="2" fillId="8" borderId="86" xfId="0" applyFont="1" applyFill="1" applyBorder="1" applyAlignment="1" applyProtection="1">
      <alignment vertical="center"/>
      <protection hidden="1"/>
    </xf>
    <xf numFmtId="2" fontId="2" fillId="8" borderId="85" xfId="0" applyNumberFormat="1" applyFont="1" applyFill="1" applyBorder="1" applyAlignment="1" applyProtection="1">
      <alignment vertical="center"/>
      <protection hidden="1"/>
    </xf>
    <xf numFmtId="2" fontId="2" fillId="8" borderId="0" xfId="0" applyNumberFormat="1" applyFont="1" applyFill="1" applyAlignment="1" applyProtection="1">
      <alignment vertical="center"/>
      <protection hidden="1"/>
    </xf>
    <xf numFmtId="0" fontId="169" fillId="8" borderId="0" xfId="0" applyFont="1" applyFill="1" applyAlignment="1" applyProtection="1">
      <alignment vertical="center"/>
      <protection hidden="1"/>
    </xf>
    <xf numFmtId="2" fontId="2" fillId="8" borderId="80" xfId="0" applyNumberFormat="1" applyFont="1" applyFill="1" applyBorder="1" applyAlignment="1" applyProtection="1">
      <alignment vertical="center"/>
      <protection hidden="1"/>
    </xf>
    <xf numFmtId="2" fontId="2" fillId="8" borderId="82" xfId="0" applyNumberFormat="1" applyFont="1" applyFill="1" applyBorder="1" applyAlignment="1" applyProtection="1">
      <alignment vertical="center"/>
      <protection hidden="1"/>
    </xf>
    <xf numFmtId="2" fontId="2" fillId="8" borderId="79" xfId="0" applyNumberFormat="1" applyFont="1" applyFill="1" applyBorder="1" applyAlignment="1" applyProtection="1">
      <alignment vertical="center"/>
      <protection hidden="1"/>
    </xf>
    <xf numFmtId="2" fontId="2" fillId="8" borderId="83" xfId="0" applyNumberFormat="1" applyFont="1" applyFill="1" applyBorder="1" applyAlignment="1" applyProtection="1">
      <alignment vertical="center"/>
      <protection hidden="1"/>
    </xf>
    <xf numFmtId="2" fontId="2" fillId="8" borderId="84" xfId="0" applyNumberFormat="1" applyFont="1" applyFill="1" applyBorder="1" applyAlignment="1" applyProtection="1">
      <alignment vertical="center"/>
      <protection hidden="1"/>
    </xf>
    <xf numFmtId="0" fontId="2" fillId="8" borderId="83" xfId="0" applyFont="1" applyFill="1" applyBorder="1" applyAlignment="1" applyProtection="1">
      <alignment vertical="center"/>
      <protection hidden="1"/>
    </xf>
    <xf numFmtId="0" fontId="4" fillId="8" borderId="0" xfId="0" applyFont="1" applyFill="1" applyAlignment="1" applyProtection="1">
      <alignment horizontal="left" vertical="top"/>
      <protection hidden="1"/>
    </xf>
    <xf numFmtId="0" fontId="4" fillId="8" borderId="0" xfId="0" applyFont="1" applyFill="1" applyAlignment="1" applyProtection="1">
      <alignment vertical="top"/>
      <protection hidden="1"/>
    </xf>
    <xf numFmtId="0" fontId="4" fillId="8" borderId="0" xfId="0" applyFont="1" applyFill="1" applyAlignment="1" applyProtection="1">
      <alignment horizontal="left" vertical="top" wrapText="1"/>
      <protection hidden="1"/>
    </xf>
    <xf numFmtId="0" fontId="154" fillId="8" borderId="0" xfId="0" applyFont="1" applyFill="1" applyAlignment="1" applyProtection="1">
      <alignment vertical="top"/>
      <protection hidden="1"/>
    </xf>
    <xf numFmtId="0" fontId="154" fillId="8" borderId="0" xfId="0" applyFont="1" applyFill="1" applyAlignment="1" applyProtection="1">
      <alignment horizontal="left" vertical="top" wrapText="1"/>
      <protection hidden="1"/>
    </xf>
    <xf numFmtId="43" fontId="173" fillId="0" borderId="0" xfId="4" applyFont="1" applyFill="1" applyBorder="1" applyAlignment="1" applyProtection="1">
      <alignment horizontal="left" vertical="center"/>
      <protection hidden="1"/>
    </xf>
    <xf numFmtId="0" fontId="52" fillId="8" borderId="3" xfId="0" applyFont="1" applyFill="1" applyBorder="1" applyProtection="1">
      <protection locked="0"/>
    </xf>
    <xf numFmtId="0" fontId="76" fillId="8" borderId="3" xfId="0" applyFont="1" applyFill="1" applyBorder="1" applyProtection="1">
      <protection locked="0"/>
    </xf>
    <xf numFmtId="0" fontId="52" fillId="8" borderId="0" xfId="0" applyFont="1" applyFill="1" applyAlignment="1" applyProtection="1">
      <alignment horizontal="center" vertical="top"/>
      <protection hidden="1"/>
    </xf>
    <xf numFmtId="0" fontId="6" fillId="8" borderId="0" xfId="0" applyFont="1" applyFill="1" applyProtection="1">
      <protection hidden="1"/>
    </xf>
    <xf numFmtId="9" fontId="60" fillId="0" borderId="27" xfId="0" applyNumberFormat="1" applyFont="1" applyBorder="1"/>
    <xf numFmtId="0" fontId="174" fillId="0" borderId="0" xfId="0" applyFont="1" applyAlignment="1" applyProtection="1">
      <alignment horizontal="center" vertical="top"/>
      <protection hidden="1"/>
    </xf>
    <xf numFmtId="0" fontId="76" fillId="0" borderId="0" xfId="0" applyFont="1" applyAlignment="1">
      <alignment horizontal="left"/>
    </xf>
    <xf numFmtId="0" fontId="48" fillId="0" borderId="0" xfId="105" applyFill="1" applyBorder="1" applyAlignment="1" applyProtection="1">
      <alignment vertical="top"/>
      <protection hidden="1"/>
    </xf>
    <xf numFmtId="0" fontId="58" fillId="30" borderId="0" xfId="0" applyFont="1" applyFill="1" applyAlignment="1" applyProtection="1">
      <alignment vertical="center"/>
      <protection hidden="1"/>
    </xf>
    <xf numFmtId="0" fontId="55" fillId="0" borderId="0" xfId="0" applyFont="1" applyAlignment="1" applyProtection="1">
      <alignment vertical="center"/>
      <protection hidden="1"/>
    </xf>
    <xf numFmtId="0" fontId="166" fillId="30" borderId="0" xfId="0" applyFont="1" applyFill="1" applyAlignment="1" applyProtection="1">
      <alignment vertical="center"/>
      <protection hidden="1"/>
    </xf>
    <xf numFmtId="0" fontId="21" fillId="0" borderId="0" xfId="0" applyFont="1" applyAlignment="1" applyProtection="1">
      <alignment vertical="center"/>
      <protection hidden="1"/>
    </xf>
    <xf numFmtId="0" fontId="43" fillId="0" borderId="0" xfId="0" applyFont="1" applyAlignment="1" applyProtection="1">
      <alignment vertical="center" wrapText="1"/>
      <protection hidden="1"/>
    </xf>
    <xf numFmtId="0" fontId="15" fillId="0" borderId="74" xfId="0" applyFont="1" applyBorder="1" applyAlignment="1" applyProtection="1">
      <alignment vertical="center"/>
      <protection hidden="1"/>
    </xf>
    <xf numFmtId="0" fontId="55" fillId="30" borderId="74" xfId="0" applyFont="1" applyFill="1" applyBorder="1" applyAlignment="1" applyProtection="1">
      <alignment vertical="center"/>
      <protection hidden="1"/>
    </xf>
    <xf numFmtId="0" fontId="15" fillId="30" borderId="74" xfId="0" applyFont="1" applyFill="1" applyBorder="1" applyAlignment="1" applyProtection="1">
      <alignment vertical="center"/>
      <protection hidden="1"/>
    </xf>
    <xf numFmtId="0" fontId="158" fillId="30" borderId="0" xfId="0" applyFont="1" applyFill="1" applyAlignment="1" applyProtection="1">
      <alignment horizontal="left" vertical="center" wrapText="1"/>
      <protection hidden="1"/>
    </xf>
    <xf numFmtId="0" fontId="146" fillId="30" borderId="74" xfId="0" applyFont="1" applyFill="1" applyBorder="1" applyAlignment="1" applyProtection="1">
      <alignment vertical="center"/>
      <protection hidden="1"/>
    </xf>
    <xf numFmtId="0" fontId="158" fillId="0" borderId="0" xfId="0" applyFont="1" applyAlignment="1" applyProtection="1">
      <alignment horizontal="left" vertical="center" wrapText="1"/>
      <protection hidden="1"/>
    </xf>
    <xf numFmtId="0" fontId="55" fillId="0" borderId="74" xfId="0" applyFont="1" applyBorder="1" applyAlignment="1" applyProtection="1">
      <alignment vertical="center"/>
      <protection hidden="1"/>
    </xf>
    <xf numFmtId="0" fontId="87" fillId="0" borderId="74" xfId="0" applyFont="1" applyBorder="1" applyAlignment="1" applyProtection="1">
      <alignment vertical="center"/>
      <protection hidden="1"/>
    </xf>
    <xf numFmtId="0" fontId="45" fillId="30" borderId="0" xfId="0" applyFont="1" applyFill="1" applyProtection="1">
      <protection hidden="1"/>
    </xf>
    <xf numFmtId="0" fontId="147" fillId="30" borderId="0" xfId="0" applyFont="1" applyFill="1" applyAlignment="1" applyProtection="1">
      <alignment vertical="center"/>
      <protection hidden="1"/>
    </xf>
    <xf numFmtId="0" fontId="148" fillId="30" borderId="0" xfId="0" applyFont="1" applyFill="1" applyAlignment="1" applyProtection="1">
      <alignment vertical="center"/>
      <protection hidden="1"/>
    </xf>
    <xf numFmtId="0" fontId="55" fillId="30" borderId="0" xfId="0" applyFont="1" applyFill="1" applyAlignment="1" applyProtection="1">
      <alignment horizontal="left" vertical="center" indent="1"/>
      <protection hidden="1"/>
    </xf>
    <xf numFmtId="0" fontId="145" fillId="30" borderId="0" xfId="0" applyFont="1" applyFill="1" applyAlignment="1" applyProtection="1">
      <alignment vertical="center"/>
      <protection hidden="1"/>
    </xf>
    <xf numFmtId="0" fontId="144" fillId="0" borderId="0" xfId="0" applyFont="1" applyAlignment="1" applyProtection="1">
      <alignment vertical="center"/>
      <protection hidden="1"/>
    </xf>
    <xf numFmtId="0" fontId="145" fillId="0" borderId="0" xfId="0" applyFont="1" applyAlignment="1" applyProtection="1">
      <alignment vertical="center"/>
      <protection hidden="1"/>
    </xf>
    <xf numFmtId="0" fontId="55" fillId="30" borderId="0" xfId="0" applyFont="1" applyFill="1" applyAlignment="1" applyProtection="1">
      <alignment vertical="center"/>
      <protection hidden="1"/>
    </xf>
    <xf numFmtId="0" fontId="97" fillId="30" borderId="44" xfId="0" applyFont="1" applyFill="1" applyBorder="1" applyAlignment="1" applyProtection="1">
      <alignment vertical="center"/>
      <protection hidden="1"/>
    </xf>
    <xf numFmtId="0" fontId="97" fillId="30" borderId="44" xfId="0" applyFont="1" applyFill="1" applyBorder="1" applyAlignment="1" applyProtection="1">
      <alignment horizontal="left" vertical="center"/>
      <protection hidden="1"/>
    </xf>
    <xf numFmtId="0" fontId="97" fillId="0" borderId="44" xfId="0" applyFont="1" applyBorder="1" applyAlignment="1" applyProtection="1">
      <alignment horizontal="left" vertical="center"/>
      <protection hidden="1"/>
    </xf>
    <xf numFmtId="0" fontId="60" fillId="13" borderId="0" xfId="0" applyFont="1" applyFill="1" applyAlignment="1">
      <alignment horizontal="left"/>
    </xf>
    <xf numFmtId="0" fontId="60" fillId="31" borderId="0" xfId="0" applyFont="1" applyFill="1" applyAlignment="1">
      <alignment horizontal="left"/>
    </xf>
    <xf numFmtId="181" fontId="60" fillId="31" borderId="0" xfId="0" applyNumberFormat="1" applyFont="1" applyFill="1" applyAlignment="1" applyProtection="1">
      <alignment horizontal="center"/>
      <protection locked="0"/>
    </xf>
    <xf numFmtId="0" fontId="60" fillId="32" borderId="0" xfId="0" applyFont="1" applyFill="1" applyAlignment="1">
      <alignment horizontal="left"/>
    </xf>
    <xf numFmtId="181" fontId="60" fillId="33" borderId="0" xfId="115" applyNumberFormat="1" applyFont="1" applyFill="1" applyAlignment="1" applyProtection="1">
      <alignment horizontal="center"/>
      <protection locked="0"/>
    </xf>
    <xf numFmtId="0" fontId="60" fillId="34" borderId="0" xfId="0" applyFont="1" applyFill="1" applyAlignment="1">
      <alignment horizontal="left"/>
    </xf>
    <xf numFmtId="0" fontId="60" fillId="35" borderId="0" xfId="0" applyFont="1" applyFill="1" applyAlignment="1">
      <alignment horizontal="left"/>
    </xf>
    <xf numFmtId="0" fontId="60" fillId="35" borderId="9" xfId="0" applyFont="1" applyFill="1" applyBorder="1"/>
    <xf numFmtId="3" fontId="70" fillId="5" borderId="3" xfId="0" applyNumberFormat="1" applyFont="1" applyFill="1" applyBorder="1" applyAlignment="1" applyProtection="1">
      <alignment horizontal="center"/>
      <protection locked="0"/>
    </xf>
    <xf numFmtId="0" fontId="60" fillId="0" borderId="0" xfId="3" applyFont="1" applyFill="1" applyBorder="1" applyProtection="1">
      <protection locked="0"/>
    </xf>
    <xf numFmtId="172" fontId="60" fillId="0" borderId="0" xfId="3" applyNumberFormat="1" applyFont="1" applyFill="1" applyBorder="1" applyProtection="1">
      <protection locked="0"/>
    </xf>
    <xf numFmtId="177" fontId="60" fillId="0" borderId="0" xfId="4" applyNumberFormat="1" applyFont="1" applyFill="1" applyBorder="1"/>
    <xf numFmtId="0" fontId="60" fillId="0" borderId="0" xfId="3" applyFont="1" applyFill="1" applyBorder="1" applyAlignment="1" applyProtection="1">
      <alignment horizontal="center"/>
      <protection locked="0"/>
    </xf>
    <xf numFmtId="43" fontId="60" fillId="0" borderId="0" xfId="3" applyNumberFormat="1" applyFont="1" applyFill="1" applyBorder="1" applyProtection="1">
      <protection locked="0"/>
    </xf>
    <xf numFmtId="9" fontId="60" fillId="0" borderId="0" xfId="3" applyNumberFormat="1" applyFont="1" applyFill="1" applyBorder="1" applyProtection="1">
      <protection locked="0"/>
    </xf>
    <xf numFmtId="174" fontId="60" fillId="0" borderId="0" xfId="3" applyNumberFormat="1" applyFont="1" applyFill="1" applyBorder="1" applyProtection="1">
      <protection locked="0"/>
    </xf>
    <xf numFmtId="182" fontId="60" fillId="0" borderId="0" xfId="3" applyNumberFormat="1" applyFont="1" applyFill="1" applyBorder="1" applyProtection="1">
      <protection locked="0"/>
    </xf>
    <xf numFmtId="0" fontId="60" fillId="0" borderId="0" xfId="3" applyFont="1" applyFill="1" applyBorder="1" applyAlignment="1" applyProtection="1">
      <protection locked="0"/>
    </xf>
    <xf numFmtId="3" fontId="60" fillId="0" borderId="0" xfId="3" applyNumberFormat="1" applyFont="1" applyFill="1" applyBorder="1" applyAlignment="1" applyProtection="1">
      <protection locked="0"/>
    </xf>
    <xf numFmtId="2" fontId="60" fillId="0" borderId="0" xfId="3" applyNumberFormat="1" applyFont="1" applyFill="1" applyBorder="1" applyProtection="1">
      <protection locked="0"/>
    </xf>
    <xf numFmtId="49" fontId="175" fillId="0" borderId="0" xfId="0" applyNumberFormat="1" applyFont="1" applyProtection="1">
      <protection hidden="1"/>
    </xf>
    <xf numFmtId="0" fontId="78" fillId="0" borderId="0" xfId="0" applyFont="1"/>
    <xf numFmtId="0" fontId="78" fillId="0" borderId="0" xfId="0" applyFont="1" applyAlignment="1">
      <alignment horizontal="center"/>
    </xf>
    <xf numFmtId="0" fontId="78" fillId="0" borderId="0" xfId="0" applyFont="1" applyAlignment="1">
      <alignment horizontal="center" wrapText="1"/>
    </xf>
    <xf numFmtId="0" fontId="78" fillId="0" borderId="0" xfId="0" applyFont="1" applyAlignment="1">
      <alignment horizontal="center" vertical="center" wrapText="1"/>
    </xf>
    <xf numFmtId="0" fontId="78" fillId="0" borderId="0" xfId="0" applyFont="1" applyAlignment="1">
      <alignment horizontal="left"/>
    </xf>
    <xf numFmtId="172" fontId="60" fillId="0" borderId="0" xfId="0" applyNumberFormat="1" applyFont="1"/>
    <xf numFmtId="170" fontId="60" fillId="0" borderId="0" xfId="0" applyNumberFormat="1" applyFont="1"/>
    <xf numFmtId="177" fontId="60" fillId="0" borderId="0" xfId="0" applyNumberFormat="1" applyFont="1"/>
    <xf numFmtId="0" fontId="78" fillId="0" borderId="0" xfId="0" applyFont="1" applyAlignment="1">
      <alignment wrapText="1"/>
    </xf>
    <xf numFmtId="167" fontId="60" fillId="0" borderId="0" xfId="0" applyNumberFormat="1" applyFont="1"/>
    <xf numFmtId="182" fontId="60" fillId="0" borderId="0" xfId="0" applyNumberFormat="1" applyFont="1"/>
    <xf numFmtId="184" fontId="60" fillId="0" borderId="0" xfId="0" applyNumberFormat="1" applyFont="1"/>
    <xf numFmtId="0" fontId="60" fillId="0" borderId="1" xfId="3" applyFont="1" applyFill="1" applyBorder="1" applyProtection="1">
      <protection locked="0"/>
    </xf>
    <xf numFmtId="172" fontId="60" fillId="0" borderId="1" xfId="3" applyNumberFormat="1" applyFont="1" applyFill="1" applyBorder="1" applyProtection="1">
      <protection locked="0"/>
    </xf>
    <xf numFmtId="43" fontId="60" fillId="0" borderId="1" xfId="3" applyNumberFormat="1" applyFont="1" applyFill="1" applyBorder="1" applyProtection="1">
      <protection locked="0"/>
    </xf>
    <xf numFmtId="9" fontId="60" fillId="0" borderId="1" xfId="3" applyNumberFormat="1" applyFont="1" applyFill="1" applyBorder="1" applyProtection="1">
      <protection locked="0"/>
    </xf>
    <xf numFmtId="182" fontId="60" fillId="0" borderId="1" xfId="3" applyNumberFormat="1" applyFont="1" applyFill="1" applyBorder="1" applyProtection="1">
      <protection locked="0"/>
    </xf>
    <xf numFmtId="184" fontId="60" fillId="0" borderId="1" xfId="0" applyNumberFormat="1" applyFont="1" applyBorder="1"/>
    <xf numFmtId="2" fontId="60" fillId="0" borderId="1" xfId="3" applyNumberFormat="1" applyFont="1" applyFill="1" applyBorder="1" applyProtection="1">
      <protection locked="0"/>
    </xf>
    <xf numFmtId="0" fontId="45" fillId="36" borderId="0" xfId="0" applyFont="1" applyFill="1"/>
    <xf numFmtId="0" fontId="47" fillId="36" borderId="0" xfId="0" applyFont="1" applyFill="1" applyAlignment="1">
      <alignment horizontal="center" vertical="center" wrapText="1"/>
    </xf>
    <xf numFmtId="0" fontId="47" fillId="36" borderId="0" xfId="0" applyFont="1" applyFill="1" applyAlignment="1">
      <alignment wrapText="1"/>
    </xf>
    <xf numFmtId="0" fontId="47" fillId="36" borderId="0" xfId="0" applyFont="1" applyFill="1" applyAlignment="1">
      <alignment horizontal="center" wrapText="1"/>
    </xf>
    <xf numFmtId="0" fontId="47" fillId="36" borderId="0" xfId="0" applyFont="1" applyFill="1"/>
    <xf numFmtId="0" fontId="47" fillId="3" borderId="11" xfId="0" applyFont="1" applyFill="1" applyBorder="1" applyAlignment="1">
      <alignment horizontal="center"/>
    </xf>
    <xf numFmtId="0" fontId="47" fillId="3" borderId="13" xfId="0" applyFont="1" applyFill="1" applyBorder="1" applyAlignment="1">
      <alignment horizontal="center"/>
    </xf>
    <xf numFmtId="0" fontId="0" fillId="8" borderId="44" xfId="0" applyFill="1" applyBorder="1" applyProtection="1">
      <protection hidden="1"/>
    </xf>
    <xf numFmtId="0" fontId="122" fillId="8" borderId="0" xfId="0" applyFont="1" applyFill="1" applyProtection="1">
      <protection hidden="1"/>
    </xf>
    <xf numFmtId="184" fontId="60" fillId="9" borderId="1" xfId="0" applyNumberFormat="1" applyFont="1" applyFill="1" applyBorder="1"/>
    <xf numFmtId="43" fontId="60" fillId="9" borderId="1" xfId="3" applyNumberFormat="1" applyFont="1" applyFill="1" applyBorder="1" applyProtection="1">
      <protection locked="0"/>
    </xf>
    <xf numFmtId="9" fontId="60" fillId="9" borderId="1" xfId="3" applyNumberFormat="1" applyFont="1" applyFill="1" applyBorder="1" applyProtection="1">
      <protection locked="0"/>
    </xf>
    <xf numFmtId="9" fontId="60" fillId="9" borderId="1" xfId="115" applyFont="1" applyFill="1" applyBorder="1" applyProtection="1">
      <protection locked="0"/>
    </xf>
    <xf numFmtId="43" fontId="60" fillId="37" borderId="1" xfId="3" applyNumberFormat="1" applyFont="1" applyFill="1" applyBorder="1" applyProtection="1">
      <protection locked="0"/>
    </xf>
    <xf numFmtId="182" fontId="60" fillId="37" borderId="1" xfId="3" applyNumberFormat="1" applyFont="1" applyFill="1" applyBorder="1" applyProtection="1">
      <protection locked="0"/>
    </xf>
    <xf numFmtId="0" fontId="60" fillId="37" borderId="1" xfId="3" applyFont="1" applyFill="1" applyBorder="1" applyProtection="1">
      <protection locked="0"/>
    </xf>
    <xf numFmtId="0" fontId="47" fillId="3" borderId="0" xfId="0" applyFont="1" applyFill="1"/>
    <xf numFmtId="0" fontId="47" fillId="37" borderId="0" xfId="0" applyFont="1" applyFill="1"/>
    <xf numFmtId="0" fontId="0" fillId="0" borderId="0" xfId="0" applyAlignment="1">
      <alignment horizontal="center"/>
    </xf>
    <xf numFmtId="184" fontId="60" fillId="38" borderId="1" xfId="0" applyNumberFormat="1" applyFont="1" applyFill="1" applyBorder="1"/>
    <xf numFmtId="43" fontId="60" fillId="0" borderId="1" xfId="3" applyNumberFormat="1" applyFont="1" applyFill="1" applyBorder="1" applyAlignment="1" applyProtection="1">
      <alignment horizontal="left"/>
      <protection locked="0"/>
    </xf>
    <xf numFmtId="183" fontId="60" fillId="9" borderId="1" xfId="3" applyNumberFormat="1" applyFont="1" applyFill="1" applyBorder="1" applyProtection="1">
      <protection locked="0"/>
    </xf>
    <xf numFmtId="0" fontId="60" fillId="9" borderId="1" xfId="3" applyNumberFormat="1" applyFont="1" applyFill="1" applyBorder="1" applyProtection="1">
      <protection locked="0"/>
    </xf>
    <xf numFmtId="182" fontId="60" fillId="9" borderId="1" xfId="3" applyNumberFormat="1" applyFont="1" applyFill="1" applyBorder="1" applyProtection="1">
      <protection locked="0"/>
    </xf>
    <xf numFmtId="184" fontId="60" fillId="9" borderId="1" xfId="3" applyNumberFormat="1" applyFont="1" applyFill="1" applyBorder="1" applyProtection="1">
      <protection locked="0"/>
    </xf>
    <xf numFmtId="0" fontId="0" fillId="22" borderId="0" xfId="0" applyFill="1"/>
    <xf numFmtId="0" fontId="0" fillId="0" borderId="5" xfId="0" applyBorder="1"/>
    <xf numFmtId="0" fontId="177" fillId="0" borderId="0" xfId="0" applyFont="1" applyAlignment="1">
      <alignment horizontal="center" vertical="center"/>
    </xf>
    <xf numFmtId="0" fontId="178" fillId="3" borderId="22" xfId="0" applyFont="1" applyFill="1" applyBorder="1" applyAlignment="1">
      <alignment horizontal="center" vertical="center"/>
    </xf>
    <xf numFmtId="3" fontId="178" fillId="3" borderId="30" xfId="0" applyNumberFormat="1" applyFont="1" applyFill="1" applyBorder="1" applyAlignment="1">
      <alignment horizontal="center" vertical="center"/>
    </xf>
    <xf numFmtId="3" fontId="178" fillId="3" borderId="24" xfId="0" applyNumberFormat="1" applyFont="1" applyFill="1" applyBorder="1" applyAlignment="1">
      <alignment horizontal="center" vertical="center"/>
    </xf>
    <xf numFmtId="0" fontId="0" fillId="0" borderId="0" xfId="0" applyProtection="1">
      <protection locked="0"/>
    </xf>
    <xf numFmtId="0" fontId="179" fillId="0" borderId="12" xfId="0" applyFont="1" applyBorder="1" applyProtection="1">
      <protection hidden="1"/>
    </xf>
    <xf numFmtId="0" fontId="0" fillId="0" borderId="1" xfId="0" applyBorder="1" applyAlignment="1" applyProtection="1">
      <alignment horizontal="center"/>
      <protection locked="0"/>
    </xf>
    <xf numFmtId="0" fontId="178" fillId="0" borderId="9" xfId="0" applyFont="1" applyBorder="1" applyProtection="1">
      <protection hidden="1"/>
    </xf>
    <xf numFmtId="0" fontId="178" fillId="3" borderId="11" xfId="0" applyFont="1" applyFill="1" applyBorder="1" applyProtection="1">
      <protection hidden="1"/>
    </xf>
    <xf numFmtId="0" fontId="81" fillId="0" borderId="12" xfId="144" applyFont="1" applyBorder="1" applyProtection="1">
      <protection hidden="1"/>
    </xf>
    <xf numFmtId="0" fontId="81" fillId="0" borderId="12" xfId="144" applyFont="1" applyBorder="1" applyAlignment="1" applyProtection="1">
      <alignment horizontal="right"/>
      <protection hidden="1"/>
    </xf>
    <xf numFmtId="0" fontId="81" fillId="0" borderId="12" xfId="144" applyFont="1" applyBorder="1" applyAlignment="1" applyProtection="1">
      <alignment horizontal="left"/>
      <protection hidden="1"/>
    </xf>
    <xf numFmtId="0" fontId="48" fillId="0" borderId="0" xfId="105" applyFill="1" applyBorder="1"/>
    <xf numFmtId="0" fontId="0" fillId="0" borderId="0" xfId="0" applyAlignment="1">
      <alignment horizontal="right"/>
    </xf>
    <xf numFmtId="0" fontId="0" fillId="0" borderId="4" xfId="0" applyBorder="1"/>
    <xf numFmtId="0" fontId="0" fillId="0" borderId="14" xfId="0" applyBorder="1"/>
    <xf numFmtId="0" fontId="0" fillId="12" borderId="1" xfId="0" applyFill="1" applyBorder="1"/>
    <xf numFmtId="0" fontId="0" fillId="0" borderId="11" xfId="133" applyNumberFormat="1" applyFont="1" applyBorder="1"/>
    <xf numFmtId="0" fontId="81" fillId="0" borderId="12" xfId="0" applyFont="1" applyBorder="1" applyProtection="1">
      <protection hidden="1"/>
    </xf>
    <xf numFmtId="0" fontId="0" fillId="0" borderId="9" xfId="0" applyBorder="1" applyProtection="1">
      <protection locked="0"/>
    </xf>
    <xf numFmtId="0" fontId="81" fillId="0" borderId="13" xfId="0" applyFont="1" applyBorder="1" applyProtection="1">
      <protection hidden="1"/>
    </xf>
    <xf numFmtId="0" fontId="0" fillId="0" borderId="6" xfId="0" applyBorder="1"/>
    <xf numFmtId="167" fontId="0" fillId="0" borderId="0" xfId="0" applyNumberFormat="1" applyAlignment="1">
      <alignment horizontal="center"/>
    </xf>
    <xf numFmtId="0" fontId="179" fillId="0" borderId="13" xfId="0" applyFont="1" applyBorder="1" applyProtection="1">
      <protection hidden="1"/>
    </xf>
    <xf numFmtId="178" fontId="177" fillId="3" borderId="1" xfId="0" applyNumberFormat="1" applyFont="1" applyFill="1" applyBorder="1" applyAlignment="1">
      <alignment horizontal="center" vertical="center"/>
    </xf>
    <xf numFmtId="170" fontId="0" fillId="0" borderId="12" xfId="0" applyNumberFormat="1" applyBorder="1"/>
    <xf numFmtId="0" fontId="81" fillId="0" borderId="13" xfId="144" applyFont="1" applyBorder="1" applyAlignment="1" applyProtection="1">
      <alignment horizontal="left"/>
      <protection hidden="1"/>
    </xf>
    <xf numFmtId="0" fontId="0" fillId="3" borderId="14" xfId="0" applyFill="1" applyBorder="1"/>
    <xf numFmtId="6" fontId="0" fillId="0" borderId="0" xfId="0" applyNumberFormat="1"/>
    <xf numFmtId="1" fontId="0" fillId="0" borderId="1" xfId="0" applyNumberFormat="1" applyBorder="1"/>
    <xf numFmtId="0" fontId="0" fillId="0" borderId="30" xfId="0" applyBorder="1"/>
    <xf numFmtId="0" fontId="0" fillId="0" borderId="72" xfId="0" applyBorder="1"/>
    <xf numFmtId="1" fontId="0" fillId="0" borderId="72" xfId="0" applyNumberFormat="1" applyBorder="1"/>
    <xf numFmtId="0" fontId="0" fillId="0" borderId="73" xfId="0" applyBorder="1"/>
    <xf numFmtId="1" fontId="0" fillId="0" borderId="73" xfId="0" applyNumberFormat="1" applyBorder="1"/>
    <xf numFmtId="0" fontId="179" fillId="0" borderId="0" xfId="0" applyFont="1" applyProtection="1">
      <protection hidden="1"/>
    </xf>
    <xf numFmtId="0" fontId="0" fillId="0" borderId="12" xfId="138" applyNumberFormat="1" applyFont="1" applyBorder="1"/>
    <xf numFmtId="0" fontId="0" fillId="0" borderId="11" xfId="140" applyNumberFormat="1" applyFont="1" applyBorder="1"/>
    <xf numFmtId="9" fontId="0" fillId="0" borderId="1" xfId="0" applyNumberFormat="1" applyBorder="1"/>
    <xf numFmtId="0" fontId="0" fillId="0" borderId="12" xfId="140" applyNumberFormat="1" applyFont="1" applyBorder="1"/>
    <xf numFmtId="2" fontId="0" fillId="0" borderId="12" xfId="0" applyNumberFormat="1" applyBorder="1"/>
    <xf numFmtId="0" fontId="0" fillId="0" borderId="13" xfId="138" applyNumberFormat="1" applyFont="1" applyBorder="1"/>
    <xf numFmtId="0" fontId="0" fillId="0" borderId="0" xfId="132" applyNumberFormat="1" applyFont="1"/>
    <xf numFmtId="0" fontId="0" fillId="0" borderId="12" xfId="141" applyNumberFormat="1" applyFont="1" applyBorder="1"/>
    <xf numFmtId="0" fontId="0" fillId="0" borderId="12" xfId="136" applyNumberFormat="1" applyFont="1" applyBorder="1"/>
    <xf numFmtId="16" fontId="0" fillId="0" borderId="0" xfId="0" applyNumberFormat="1"/>
    <xf numFmtId="0" fontId="0" fillId="0" borderId="13" xfId="136" applyNumberFormat="1" applyFont="1" applyBorder="1"/>
    <xf numFmtId="0" fontId="0" fillId="0" borderId="13" xfId="140" applyNumberFormat="1" applyFont="1" applyBorder="1"/>
    <xf numFmtId="0" fontId="0" fillId="0" borderId="13" xfId="141" applyNumberFormat="1" applyFont="1" applyBorder="1"/>
    <xf numFmtId="0" fontId="0" fillId="0" borderId="5" xfId="142" quotePrefix="1" applyNumberFormat="1" applyFont="1" applyBorder="1"/>
    <xf numFmtId="0" fontId="0" fillId="0" borderId="9" xfId="142" applyNumberFormat="1" applyFont="1" applyBorder="1"/>
    <xf numFmtId="0" fontId="0" fillId="0" borderId="5" xfId="142" applyNumberFormat="1" applyFont="1" applyBorder="1"/>
    <xf numFmtId="0" fontId="0" fillId="0" borderId="4" xfId="133" applyNumberFormat="1" applyFont="1" applyBorder="1"/>
    <xf numFmtId="0" fontId="0" fillId="0" borderId="14" xfId="133" applyNumberFormat="1" applyFont="1" applyBorder="1"/>
    <xf numFmtId="0" fontId="0" fillId="0" borderId="5" xfId="143" applyNumberFormat="1" applyFont="1" applyBorder="1"/>
    <xf numFmtId="0" fontId="0" fillId="0" borderId="9" xfId="143" applyNumberFormat="1" applyFont="1" applyBorder="1"/>
    <xf numFmtId="0" fontId="0" fillId="0" borderId="0" xfId="142" applyNumberFormat="1" applyFont="1"/>
    <xf numFmtId="178" fontId="0" fillId="0" borderId="0" xfId="142" applyFont="1"/>
    <xf numFmtId="0" fontId="0" fillId="0" borderId="5" xfId="133" applyNumberFormat="1" applyFont="1" applyBorder="1"/>
    <xf numFmtId="0" fontId="0" fillId="0" borderId="9" xfId="133" applyNumberFormat="1" applyFont="1" applyBorder="1"/>
    <xf numFmtId="9" fontId="0" fillId="0" borderId="12" xfId="0" applyNumberFormat="1" applyBorder="1"/>
    <xf numFmtId="0" fontId="0" fillId="0" borderId="6" xfId="143" applyNumberFormat="1" applyFont="1" applyBorder="1"/>
    <xf numFmtId="0" fontId="0" fillId="0" borderId="10" xfId="143" applyNumberFormat="1" applyFont="1" applyBorder="1"/>
    <xf numFmtId="0" fontId="0" fillId="0" borderId="6" xfId="142" applyNumberFormat="1" applyFont="1" applyBorder="1"/>
    <xf numFmtId="0" fontId="0" fillId="0" borderId="10" xfId="142" applyNumberFormat="1" applyFont="1" applyBorder="1"/>
    <xf numFmtId="0" fontId="0" fillId="0" borderId="6" xfId="133" applyNumberFormat="1" applyFont="1" applyBorder="1"/>
    <xf numFmtId="0" fontId="0" fillId="0" borderId="10" xfId="133" applyNumberFormat="1" applyFont="1" applyBorder="1"/>
    <xf numFmtId="0" fontId="0" fillId="0" borderId="22" xfId="0" applyBorder="1"/>
    <xf numFmtId="0" fontId="0" fillId="0" borderId="24" xfId="0" applyBorder="1"/>
    <xf numFmtId="172" fontId="0" fillId="0" borderId="12" xfId="0" applyNumberFormat="1" applyBorder="1"/>
    <xf numFmtId="1" fontId="0" fillId="0" borderId="12" xfId="0" applyNumberFormat="1" applyBorder="1"/>
    <xf numFmtId="181" fontId="0" fillId="0" borderId="1" xfId="0" applyNumberFormat="1" applyBorder="1"/>
    <xf numFmtId="181" fontId="0" fillId="0" borderId="0" xfId="0" applyNumberFormat="1"/>
    <xf numFmtId="181" fontId="0" fillId="0" borderId="9" xfId="0" applyNumberFormat="1" applyBorder="1"/>
    <xf numFmtId="0" fontId="0" fillId="0" borderId="1" xfId="0" applyBorder="1" applyAlignment="1">
      <alignment horizontal="center"/>
    </xf>
    <xf numFmtId="10" fontId="0" fillId="0" borderId="0" xfId="0" applyNumberFormat="1"/>
    <xf numFmtId="10" fontId="0" fillId="0" borderId="9" xfId="0" applyNumberFormat="1" applyBorder="1"/>
    <xf numFmtId="0" fontId="0" fillId="0" borderId="22" xfId="0" applyBorder="1" applyAlignment="1">
      <alignment horizontal="center"/>
    </xf>
    <xf numFmtId="0" fontId="0" fillId="0" borderId="24" xfId="0" applyBorder="1" applyAlignment="1">
      <alignment horizontal="center"/>
    </xf>
    <xf numFmtId="0" fontId="0" fillId="0" borderId="1" xfId="0" applyBorder="1" applyAlignment="1">
      <alignment horizontal="right"/>
    </xf>
    <xf numFmtId="0" fontId="0" fillId="8" borderId="1" xfId="0" applyFill="1" applyBorder="1"/>
    <xf numFmtId="0" fontId="0" fillId="25" borderId="1" xfId="0" applyFill="1" applyBorder="1"/>
    <xf numFmtId="0" fontId="0" fillId="31" borderId="9" xfId="0" applyFill="1" applyBorder="1"/>
    <xf numFmtId="0" fontId="0" fillId="31" borderId="10" xfId="0" applyFill="1" applyBorder="1"/>
    <xf numFmtId="0" fontId="0" fillId="0" borderId="1" xfId="145" applyFont="1" applyBorder="1"/>
    <xf numFmtId="172" fontId="0" fillId="0" borderId="1" xfId="0" applyNumberFormat="1" applyBorder="1"/>
    <xf numFmtId="0" fontId="0" fillId="8" borderId="0" xfId="0" applyFill="1"/>
    <xf numFmtId="0" fontId="177" fillId="3" borderId="0" xfId="0" applyFont="1" applyFill="1" applyAlignment="1">
      <alignment horizontal="center" vertical="center"/>
    </xf>
    <xf numFmtId="2" fontId="0" fillId="0" borderId="1" xfId="145" applyNumberFormat="1" applyFont="1" applyBorder="1" applyAlignment="1">
      <alignment horizontal="center" vertical="center" wrapText="1"/>
    </xf>
    <xf numFmtId="2" fontId="0" fillId="0" borderId="1" xfId="145" applyNumberFormat="1" applyFont="1" applyBorder="1" applyAlignment="1">
      <alignment horizontal="center"/>
    </xf>
    <xf numFmtId="0" fontId="0" fillId="0" borderId="1" xfId="145" applyFont="1" applyBorder="1" applyAlignment="1">
      <alignment horizontal="center"/>
    </xf>
    <xf numFmtId="172" fontId="0" fillId="0" borderId="22" xfId="0" applyNumberFormat="1" applyBorder="1"/>
    <xf numFmtId="1" fontId="0" fillId="0" borderId="24" xfId="0" applyNumberFormat="1" applyBorder="1"/>
    <xf numFmtId="6" fontId="0" fillId="0" borderId="2" xfId="0" applyNumberFormat="1" applyBorder="1"/>
    <xf numFmtId="6" fontId="0" fillId="0" borderId="14" xfId="0" applyNumberFormat="1" applyBorder="1"/>
    <xf numFmtId="6" fontId="0" fillId="0" borderId="9" xfId="0" applyNumberFormat="1" applyBorder="1"/>
    <xf numFmtId="6" fontId="0" fillId="0" borderId="3" xfId="0" applyNumberFormat="1" applyBorder="1"/>
    <xf numFmtId="6" fontId="0" fillId="0" borderId="10" xfId="0" applyNumberFormat="1" applyBorder="1"/>
    <xf numFmtId="1" fontId="0" fillId="0" borderId="22" xfId="0" applyNumberFormat="1" applyBorder="1"/>
    <xf numFmtId="0" fontId="177" fillId="3" borderId="67" xfId="0" applyFont="1" applyFill="1" applyBorder="1" applyAlignment="1">
      <alignment horizontal="center" vertical="center"/>
    </xf>
    <xf numFmtId="0" fontId="177" fillId="3" borderId="66" xfId="0" applyFont="1" applyFill="1" applyBorder="1" applyAlignment="1">
      <alignment horizontal="center" vertical="center"/>
    </xf>
    <xf numFmtId="0" fontId="177" fillId="3" borderId="69" xfId="0" applyFont="1" applyFill="1" applyBorder="1" applyAlignment="1">
      <alignment horizontal="center" vertical="center"/>
    </xf>
    <xf numFmtId="0" fontId="0" fillId="0" borderId="88" xfId="0" applyBorder="1"/>
    <xf numFmtId="0" fontId="0" fillId="0" borderId="89" xfId="0" applyBorder="1"/>
    <xf numFmtId="0" fontId="0" fillId="0" borderId="90" xfId="0" applyBorder="1"/>
    <xf numFmtId="0" fontId="178" fillId="0" borderId="91" xfId="0" applyFont="1" applyBorder="1" applyProtection="1">
      <protection hidden="1"/>
    </xf>
    <xf numFmtId="0" fontId="178" fillId="3" borderId="92" xfId="0" applyFont="1" applyFill="1" applyBorder="1" applyProtection="1">
      <protection hidden="1"/>
    </xf>
    <xf numFmtId="0" fontId="178" fillId="3" borderId="93" xfId="0" applyFont="1" applyFill="1" applyBorder="1" applyProtection="1">
      <protection hidden="1"/>
    </xf>
    <xf numFmtId="0" fontId="0" fillId="0" borderId="94" xfId="0" applyBorder="1"/>
    <xf numFmtId="0" fontId="0" fillId="0" borderId="95" xfId="0" applyBorder="1"/>
    <xf numFmtId="9" fontId="0" fillId="0" borderId="94" xfId="0" applyNumberFormat="1" applyBorder="1"/>
    <xf numFmtId="1" fontId="0" fillId="0" borderId="95" xfId="0" applyNumberFormat="1" applyBorder="1"/>
    <xf numFmtId="182" fontId="0" fillId="0" borderId="95" xfId="0" applyNumberFormat="1" applyBorder="1"/>
    <xf numFmtId="0" fontId="0" fillId="0" borderId="96" xfId="0" applyBorder="1"/>
    <xf numFmtId="0" fontId="0" fillId="0" borderId="97" xfId="0" applyBorder="1"/>
    <xf numFmtId="2" fontId="0" fillId="0" borderId="97" xfId="0" applyNumberFormat="1" applyBorder="1"/>
    <xf numFmtId="1" fontId="0" fillId="0" borderId="97" xfId="0" applyNumberFormat="1" applyBorder="1"/>
    <xf numFmtId="1" fontId="0" fillId="0" borderId="98" xfId="0" applyNumberFormat="1" applyBorder="1"/>
    <xf numFmtId="0" fontId="181" fillId="0" borderId="1" xfId="145" applyFont="1" applyBorder="1" applyAlignment="1">
      <alignment vertical="center" wrapText="1"/>
    </xf>
    <xf numFmtId="0" fontId="181" fillId="0" borderId="1" xfId="145" applyFont="1" applyBorder="1" applyAlignment="1">
      <alignment horizontal="center" vertical="center" wrapText="1"/>
    </xf>
    <xf numFmtId="0" fontId="182" fillId="39" borderId="1" xfId="145" applyFont="1" applyFill="1" applyBorder="1" applyAlignment="1">
      <alignment horizontal="left" vertical="center" wrapText="1"/>
    </xf>
    <xf numFmtId="0" fontId="183" fillId="0" borderId="0" xfId="145" applyFont="1"/>
    <xf numFmtId="0" fontId="184" fillId="0" borderId="0" xfId="145" applyFont="1"/>
    <xf numFmtId="0" fontId="181" fillId="0" borderId="1" xfId="145" applyFont="1" applyBorder="1" applyAlignment="1">
      <alignment horizontal="left"/>
    </xf>
    <xf numFmtId="0" fontId="185" fillId="0" borderId="0" xfId="145" applyFont="1" applyAlignment="1">
      <alignment horizontal="left"/>
    </xf>
    <xf numFmtId="0" fontId="186" fillId="0" borderId="0" xfId="145" applyFont="1"/>
    <xf numFmtId="0" fontId="182" fillId="0" borderId="0" xfId="145" applyFont="1" applyAlignment="1">
      <alignment horizontal="left" vertical="center" wrapText="1"/>
    </xf>
    <xf numFmtId="0" fontId="181" fillId="0" borderId="1" xfId="145" applyFont="1" applyBorder="1" applyAlignment="1">
      <alignment horizontal="left" wrapText="1"/>
    </xf>
    <xf numFmtId="0" fontId="185" fillId="0" borderId="0" xfId="145" applyFont="1" applyAlignment="1">
      <alignment horizontal="left" wrapText="1"/>
    </xf>
    <xf numFmtId="0" fontId="185" fillId="0" borderId="0" xfId="145" applyFont="1"/>
    <xf numFmtId="0" fontId="181" fillId="0" borderId="0" xfId="145" applyFont="1" applyAlignment="1">
      <alignment horizontal="left" wrapText="1"/>
    </xf>
    <xf numFmtId="0" fontId="182" fillId="38" borderId="1" xfId="145" applyFont="1" applyFill="1" applyBorder="1" applyAlignment="1">
      <alignment horizontal="center" vertical="center" wrapText="1"/>
    </xf>
    <xf numFmtId="0" fontId="181" fillId="0" borderId="1" xfId="145" applyFont="1" applyBorder="1" applyAlignment="1">
      <alignment horizontal="left" vertical="center" wrapText="1"/>
    </xf>
    <xf numFmtId="0" fontId="181" fillId="0" borderId="0" xfId="145" applyFont="1" applyAlignment="1">
      <alignment vertical="center"/>
    </xf>
    <xf numFmtId="0" fontId="181" fillId="0" borderId="0" xfId="145" applyFont="1" applyAlignment="1">
      <alignment horizontal="left" vertical="center" wrapText="1"/>
    </xf>
    <xf numFmtId="0" fontId="181" fillId="0" borderId="0" xfId="145" applyFont="1"/>
    <xf numFmtId="0" fontId="182" fillId="38" borderId="1" xfId="145" applyFont="1" applyFill="1" applyBorder="1" applyAlignment="1">
      <alignment vertical="center" wrapText="1"/>
    </xf>
    <xf numFmtId="0" fontId="194" fillId="0" borderId="1" xfId="145" applyFont="1" applyBorder="1" applyAlignment="1">
      <alignment vertical="center" wrapText="1"/>
    </xf>
    <xf numFmtId="2" fontId="191" fillId="0" borderId="1" xfId="145" applyNumberFormat="1" applyFont="1" applyBorder="1" applyAlignment="1">
      <alignment horizontal="right" vertical="center" wrapText="1"/>
    </xf>
    <xf numFmtId="0" fontId="196" fillId="0" borderId="1" xfId="145" applyFont="1" applyBorder="1" applyAlignment="1">
      <alignment vertical="center"/>
    </xf>
    <xf numFmtId="0" fontId="191" fillId="0" borderId="1" xfId="145" applyFont="1" applyBorder="1" applyAlignment="1">
      <alignment vertical="center" wrapText="1"/>
    </xf>
    <xf numFmtId="172" fontId="191" fillId="0" borderId="1" xfId="145" applyNumberFormat="1" applyFont="1" applyBorder="1" applyAlignment="1">
      <alignment horizontal="right" vertical="center" wrapText="1"/>
    </xf>
    <xf numFmtId="0" fontId="191" fillId="0" borderId="1" xfId="145" applyFont="1" applyBorder="1" applyAlignment="1">
      <alignment vertical="center"/>
    </xf>
    <xf numFmtId="0" fontId="181" fillId="0" borderId="1" xfId="145" applyFont="1" applyBorder="1" applyAlignment="1">
      <alignment horizontal="left" vertical="center"/>
    </xf>
    <xf numFmtId="2" fontId="181" fillId="0" borderId="1" xfId="145" applyNumberFormat="1" applyFont="1" applyBorder="1" applyAlignment="1">
      <alignment horizontal="right" vertical="center" wrapText="1"/>
    </xf>
    <xf numFmtId="0" fontId="181" fillId="0" borderId="1" xfId="145" applyFont="1" applyBorder="1" applyAlignment="1">
      <alignment vertical="center"/>
    </xf>
    <xf numFmtId="182" fontId="181" fillId="0" borderId="1" xfId="145" applyNumberFormat="1" applyFont="1" applyBorder="1" applyAlignment="1">
      <alignment horizontal="right" vertical="center" wrapText="1"/>
    </xf>
    <xf numFmtId="182" fontId="191" fillId="0" borderId="1" xfId="145" applyNumberFormat="1" applyFont="1" applyBorder="1" applyAlignment="1">
      <alignment horizontal="right" vertical="center" wrapText="1"/>
    </xf>
    <xf numFmtId="0" fontId="81" fillId="0" borderId="0" xfId="145" applyFont="1"/>
    <xf numFmtId="0" fontId="167" fillId="0" borderId="0" xfId="145"/>
    <xf numFmtId="0" fontId="81" fillId="0" borderId="0" xfId="145" applyFont="1" applyAlignment="1">
      <alignment wrapText="1"/>
    </xf>
    <xf numFmtId="0" fontId="182" fillId="39" borderId="22" xfId="145" applyFont="1" applyFill="1" applyBorder="1" applyAlignment="1">
      <alignment horizontal="center" vertical="center" wrapText="1"/>
    </xf>
    <xf numFmtId="0" fontId="182" fillId="39" borderId="1" xfId="145" applyFont="1" applyFill="1" applyBorder="1" applyAlignment="1">
      <alignment horizontal="center" vertical="center" wrapText="1"/>
    </xf>
    <xf numFmtId="0" fontId="181" fillId="0" borderId="99" xfId="145" applyFont="1" applyBorder="1" applyAlignment="1">
      <alignment vertical="center" wrapText="1"/>
    </xf>
    <xf numFmtId="0" fontId="182" fillId="39" borderId="99" xfId="145" applyFont="1" applyFill="1" applyBorder="1" applyAlignment="1">
      <alignment horizontal="center" vertical="center" wrapText="1"/>
    </xf>
    <xf numFmtId="0" fontId="181" fillId="0" borderId="1" xfId="145" applyFont="1" applyBorder="1" applyAlignment="1">
      <alignment horizontal="center" vertical="center"/>
    </xf>
    <xf numFmtId="0" fontId="81" fillId="0" borderId="0" xfId="145" applyFont="1" applyAlignment="1">
      <alignment vertical="center"/>
    </xf>
    <xf numFmtId="0" fontId="167" fillId="0" borderId="0" xfId="145" applyAlignment="1">
      <alignment vertical="center"/>
    </xf>
    <xf numFmtId="172" fontId="0" fillId="0" borderId="1" xfId="0" applyNumberFormat="1" applyBorder="1" applyAlignment="1">
      <alignment horizontal="left"/>
    </xf>
    <xf numFmtId="172" fontId="0" fillId="0" borderId="1" xfId="0" applyNumberFormat="1" applyBorder="1" applyAlignment="1">
      <alignment horizontal="left" wrapText="1"/>
    </xf>
    <xf numFmtId="0" fontId="81" fillId="0" borderId="1" xfId="145" applyFont="1" applyBorder="1" applyAlignment="1">
      <alignment vertical="center" wrapText="1"/>
    </xf>
    <xf numFmtId="0" fontId="181" fillId="0" borderId="1" xfId="145" applyFont="1" applyBorder="1" applyAlignment="1">
      <alignment horizontal="right" vertical="center" wrapText="1"/>
    </xf>
    <xf numFmtId="3" fontId="181" fillId="0" borderId="1" xfId="145" applyNumberFormat="1" applyFont="1" applyBorder="1" applyAlignment="1">
      <alignment horizontal="center" vertical="center" wrapText="1"/>
    </xf>
    <xf numFmtId="0" fontId="181" fillId="0" borderId="1" xfId="0" applyFont="1" applyBorder="1" applyAlignment="1">
      <alignment vertical="center"/>
    </xf>
    <xf numFmtId="0" fontId="182" fillId="39" borderId="100" xfId="145" applyFont="1" applyFill="1" applyBorder="1" applyAlignment="1">
      <alignment horizontal="center" vertical="center" wrapText="1"/>
    </xf>
    <xf numFmtId="0" fontId="81" fillId="0" borderId="1" xfId="145" applyFont="1" applyBorder="1" applyAlignment="1">
      <alignment horizontal="center" vertical="center" wrapText="1"/>
    </xf>
    <xf numFmtId="172" fontId="0" fillId="0" borderId="1" xfId="0" applyNumberFormat="1" applyBorder="1" applyAlignment="1">
      <alignment horizontal="center" wrapText="1"/>
    </xf>
    <xf numFmtId="2" fontId="181" fillId="0" borderId="1" xfId="145" applyNumberFormat="1" applyFont="1" applyBorder="1" applyAlignment="1">
      <alignment horizontal="center" vertical="center" wrapText="1"/>
    </xf>
    <xf numFmtId="180" fontId="181" fillId="0" borderId="1" xfId="145" applyNumberFormat="1" applyFont="1" applyBorder="1" applyAlignment="1">
      <alignment horizontal="center" vertical="center"/>
    </xf>
    <xf numFmtId="172" fontId="181" fillId="0" borderId="1" xfId="145" applyNumberFormat="1" applyFont="1" applyBorder="1" applyAlignment="1">
      <alignment horizontal="center" vertical="center"/>
    </xf>
    <xf numFmtId="9" fontId="181" fillId="0" borderId="1" xfId="146" applyFont="1" applyFill="1" applyBorder="1" applyAlignment="1">
      <alignment horizontal="center" vertical="center" wrapText="1"/>
    </xf>
    <xf numFmtId="0" fontId="202" fillId="0" borderId="1" xfId="145" applyFont="1" applyBorder="1" applyAlignment="1">
      <alignment vertical="center" wrapText="1"/>
    </xf>
    <xf numFmtId="0" fontId="203" fillId="0" borderId="1" xfId="145" applyFont="1" applyBorder="1" applyAlignment="1">
      <alignment horizontal="center"/>
    </xf>
    <xf numFmtId="0" fontId="204" fillId="0" borderId="1" xfId="145" applyFont="1" applyBorder="1" applyAlignment="1">
      <alignment horizontal="center"/>
    </xf>
    <xf numFmtId="0" fontId="204" fillId="0" borderId="1" xfId="145" applyFont="1" applyBorder="1" applyAlignment="1">
      <alignment horizontal="center" wrapText="1"/>
    </xf>
    <xf numFmtId="0" fontId="205" fillId="0" borderId="1" xfId="145" applyFont="1" applyBorder="1" applyAlignment="1">
      <alignment horizontal="center"/>
    </xf>
    <xf numFmtId="0" fontId="167" fillId="0" borderId="1" xfId="145" applyBorder="1" applyAlignment="1">
      <alignment horizontal="center"/>
    </xf>
    <xf numFmtId="0" fontId="181" fillId="0" borderId="1" xfId="145" applyFont="1" applyBorder="1" applyAlignment="1">
      <alignment horizontal="center" wrapText="1"/>
    </xf>
    <xf numFmtId="0" fontId="181" fillId="0" borderId="1" xfId="145" applyFont="1" applyBorder="1" applyAlignment="1">
      <alignment horizontal="right"/>
    </xf>
    <xf numFmtId="0" fontId="181" fillId="0" borderId="1" xfId="145" applyFont="1" applyBorder="1"/>
    <xf numFmtId="0" fontId="181" fillId="0" borderId="1" xfId="145" applyFont="1" applyBorder="1" applyAlignment="1">
      <alignment wrapText="1"/>
    </xf>
    <xf numFmtId="0" fontId="181" fillId="0" borderId="1" xfId="145" quotePrefix="1" applyFont="1" applyBorder="1" applyAlignment="1">
      <alignment wrapText="1"/>
    </xf>
    <xf numFmtId="0" fontId="181" fillId="0" borderId="1" xfId="145" applyFont="1" applyBorder="1" applyAlignment="1">
      <alignment horizontal="right" wrapText="1"/>
    </xf>
    <xf numFmtId="180" fontId="181" fillId="0" borderId="1" xfId="145" applyNumberFormat="1" applyFont="1" applyBorder="1" applyAlignment="1">
      <alignment horizontal="right"/>
    </xf>
    <xf numFmtId="0" fontId="180" fillId="38" borderId="1" xfId="145" applyFont="1" applyFill="1" applyBorder="1" applyAlignment="1">
      <alignment horizontal="left" vertical="center" wrapText="1"/>
    </xf>
    <xf numFmtId="0" fontId="180" fillId="38" borderId="1" xfId="145" applyFont="1" applyFill="1" applyBorder="1" applyAlignment="1">
      <alignment horizontal="center" wrapText="1"/>
    </xf>
    <xf numFmtId="0" fontId="180" fillId="38" borderId="1" xfId="145" applyFont="1" applyFill="1" applyBorder="1" applyAlignment="1">
      <alignment horizontal="center"/>
    </xf>
    <xf numFmtId="0" fontId="181" fillId="0" borderId="1" xfId="145" applyFont="1" applyBorder="1" applyAlignment="1">
      <alignment horizontal="center"/>
    </xf>
    <xf numFmtId="0" fontId="209" fillId="0" borderId="0" xfId="145" applyFont="1"/>
    <xf numFmtId="0" fontId="81" fillId="0" borderId="0" xfId="145" applyFont="1" applyAlignment="1">
      <alignment horizontal="center"/>
    </xf>
    <xf numFmtId="0" fontId="181" fillId="0" borderId="0" xfId="145" applyFont="1" applyAlignment="1">
      <alignment wrapText="1"/>
    </xf>
    <xf numFmtId="3" fontId="180" fillId="38" borderId="1" xfId="145" applyNumberFormat="1" applyFont="1" applyFill="1" applyBorder="1" applyAlignment="1">
      <alignment horizontal="center"/>
    </xf>
    <xf numFmtId="2" fontId="181" fillId="0" borderId="1" xfId="145" applyNumberFormat="1" applyFont="1" applyBorder="1" applyAlignment="1">
      <alignment horizontal="center"/>
    </xf>
    <xf numFmtId="0" fontId="81" fillId="0" borderId="1" xfId="145" applyFont="1" applyBorder="1" applyAlignment="1">
      <alignment horizontal="center"/>
    </xf>
    <xf numFmtId="0" fontId="47" fillId="3" borderId="1" xfId="0" applyFont="1" applyFill="1" applyBorder="1" applyProtection="1">
      <protection locked="0"/>
    </xf>
    <xf numFmtId="0" fontId="0" fillId="0" borderId="1" xfId="0" applyBorder="1" applyProtection="1">
      <protection locked="0"/>
    </xf>
    <xf numFmtId="0" fontId="0" fillId="37" borderId="13" xfId="0" applyFill="1" applyBorder="1"/>
    <xf numFmtId="0" fontId="0" fillId="37" borderId="11" xfId="0" applyFill="1" applyBorder="1"/>
    <xf numFmtId="0" fontId="0" fillId="37" borderId="12" xfId="0" applyFill="1" applyBorder="1"/>
    <xf numFmtId="0" fontId="182" fillId="38" borderId="1" xfId="147" applyFont="1" applyFill="1" applyBorder="1" applyAlignment="1">
      <alignment vertical="center" wrapText="1"/>
    </xf>
    <xf numFmtId="0" fontId="182" fillId="38" borderId="1" xfId="147" applyFont="1" applyFill="1" applyBorder="1" applyAlignment="1">
      <alignment horizontal="right" vertical="center" wrapText="1"/>
    </xf>
    <xf numFmtId="0" fontId="181" fillId="0" borderId="6" xfId="147" applyFont="1" applyBorder="1" applyAlignment="1">
      <alignment vertical="center" wrapText="1"/>
    </xf>
    <xf numFmtId="169" fontId="181" fillId="0" borderId="1" xfId="148" applyNumberFormat="1" applyFont="1" applyFill="1" applyBorder="1" applyAlignment="1">
      <alignment horizontal="right" vertical="center" wrapText="1"/>
    </xf>
    <xf numFmtId="169" fontId="181" fillId="0" borderId="1" xfId="148" applyNumberFormat="1" applyFont="1" applyFill="1" applyBorder="1" applyAlignment="1">
      <alignment vertical="center" wrapText="1"/>
    </xf>
    <xf numFmtId="0" fontId="181" fillId="0" borderId="22" xfId="147" applyFont="1" applyBorder="1" applyAlignment="1">
      <alignment vertical="center" wrapText="1"/>
    </xf>
    <xf numFmtId="169" fontId="0" fillId="8" borderId="0" xfId="4" applyNumberFormat="1" applyFont="1" applyFill="1" applyBorder="1" applyAlignment="1" applyProtection="1">
      <protection hidden="1"/>
    </xf>
    <xf numFmtId="0" fontId="0" fillId="8" borderId="0" xfId="0" quotePrefix="1" applyFill="1" applyAlignment="1" applyProtection="1">
      <alignment vertical="top"/>
      <protection hidden="1"/>
    </xf>
    <xf numFmtId="170" fontId="0" fillId="8" borderId="0" xfId="0" applyNumberFormat="1" applyFill="1" applyProtection="1">
      <protection hidden="1"/>
    </xf>
    <xf numFmtId="8" fontId="0" fillId="0" borderId="0" xfId="0" applyNumberFormat="1"/>
    <xf numFmtId="0" fontId="211" fillId="0" borderId="0" xfId="0" applyFont="1" applyAlignment="1" applyProtection="1">
      <alignment horizontal="left" vertical="top"/>
      <protection hidden="1"/>
    </xf>
    <xf numFmtId="0" fontId="52" fillId="0" borderId="4" xfId="0" applyFont="1" applyBorder="1" applyAlignment="1">
      <alignment wrapText="1"/>
    </xf>
    <xf numFmtId="0" fontId="52" fillId="0" borderId="2" xfId="0" applyFont="1" applyBorder="1" applyAlignment="1">
      <alignment wrapText="1"/>
    </xf>
    <xf numFmtId="0" fontId="52" fillId="0" borderId="14" xfId="0" applyFont="1" applyBorder="1" applyAlignment="1">
      <alignment wrapText="1"/>
    </xf>
    <xf numFmtId="0" fontId="52" fillId="5" borderId="3" xfId="0" applyFont="1" applyFill="1" applyBorder="1" applyProtection="1">
      <protection locked="0"/>
    </xf>
    <xf numFmtId="0" fontId="52" fillId="0" borderId="0" xfId="0" applyFont="1" applyAlignment="1">
      <alignment horizontal="center"/>
    </xf>
    <xf numFmtId="0" fontId="52" fillId="0" borderId="1" xfId="0" applyFont="1" applyBorder="1"/>
    <xf numFmtId="0" fontId="2" fillId="5" borderId="1" xfId="0" applyFont="1" applyFill="1" applyBorder="1" applyProtection="1">
      <protection locked="0"/>
    </xf>
    <xf numFmtId="0" fontId="98" fillId="6" borderId="22" xfId="0" applyFont="1" applyFill="1" applyBorder="1" applyAlignment="1" applyProtection="1">
      <alignment vertical="center"/>
      <protection locked="0"/>
    </xf>
    <xf numFmtId="0" fontId="98" fillId="6" borderId="30" xfId="0" applyFont="1" applyFill="1" applyBorder="1" applyAlignment="1" applyProtection="1">
      <alignment vertical="center"/>
      <protection locked="0"/>
    </xf>
    <xf numFmtId="0" fontId="98" fillId="6" borderId="24" xfId="0" applyFont="1" applyFill="1" applyBorder="1" applyAlignment="1" applyProtection="1">
      <alignment vertical="center"/>
      <protection locked="0"/>
    </xf>
    <xf numFmtId="0" fontId="70" fillId="0" borderId="0" xfId="0" applyFont="1" applyAlignment="1">
      <alignment wrapText="1"/>
    </xf>
    <xf numFmtId="0" fontId="52" fillId="5" borderId="3" xfId="0" applyFont="1" applyFill="1" applyBorder="1" applyAlignment="1" applyProtection="1">
      <alignment horizontal="center"/>
      <protection locked="0"/>
    </xf>
    <xf numFmtId="0" fontId="52" fillId="5" borderId="3" xfId="0" applyFont="1" applyFill="1" applyBorder="1" applyAlignment="1">
      <alignment horizontal="center"/>
    </xf>
    <xf numFmtId="0" fontId="97" fillId="3" borderId="22" xfId="0" applyFont="1" applyFill="1" applyBorder="1"/>
    <xf numFmtId="0" fontId="97" fillId="3" borderId="30" xfId="0" applyFont="1" applyFill="1" applyBorder="1"/>
    <xf numFmtId="0" fontId="97" fillId="3" borderId="24" xfId="0" applyFont="1" applyFill="1" applyBorder="1"/>
    <xf numFmtId="0" fontId="18" fillId="0" borderId="0" xfId="0" applyFont="1" applyAlignment="1" applyProtection="1">
      <alignment vertical="center" wrapText="1"/>
      <protection hidden="1"/>
    </xf>
    <xf numFmtId="0" fontId="75" fillId="0" borderId="0" xfId="0" applyFont="1" applyAlignment="1">
      <alignment vertical="center" wrapText="1"/>
    </xf>
    <xf numFmtId="0" fontId="76" fillId="0" borderId="0" xfId="0" applyFont="1" applyAlignment="1">
      <alignment wrapText="1"/>
    </xf>
    <xf numFmtId="0" fontId="76" fillId="0" borderId="0" xfId="0" applyFont="1" applyAlignment="1">
      <alignment vertical="top" wrapText="1"/>
    </xf>
    <xf numFmtId="0" fontId="52" fillId="0" borderId="2" xfId="0" applyFont="1" applyBorder="1" applyAlignment="1">
      <alignment horizontal="center"/>
    </xf>
    <xf numFmtId="0" fontId="143" fillId="0" borderId="0" xfId="0" applyFont="1" applyAlignment="1" applyProtection="1">
      <alignment horizontal="right" wrapText="1"/>
      <protection hidden="1"/>
    </xf>
    <xf numFmtId="0" fontId="61" fillId="0" borderId="0" xfId="0" applyFont="1" applyAlignment="1" applyProtection="1">
      <alignment horizontal="right"/>
      <protection hidden="1"/>
    </xf>
    <xf numFmtId="0" fontId="52" fillId="5" borderId="3" xfId="0" applyFont="1" applyFill="1" applyBorder="1" applyAlignment="1" applyProtection="1">
      <alignment horizontal="left"/>
      <protection locked="0"/>
    </xf>
    <xf numFmtId="0" fontId="83" fillId="0" borderId="44" xfId="0" applyFont="1" applyBorder="1" applyAlignment="1" applyProtection="1">
      <alignment horizontal="left"/>
      <protection hidden="1"/>
    </xf>
    <xf numFmtId="0" fontId="2" fillId="0" borderId="2" xfId="0" applyFont="1" applyBorder="1" applyAlignment="1" applyProtection="1">
      <alignment horizontal="center"/>
      <protection hidden="1"/>
    </xf>
    <xf numFmtId="0" fontId="3" fillId="0" borderId="2" xfId="0" applyFont="1" applyBorder="1" applyAlignment="1" applyProtection="1">
      <alignment horizontal="right"/>
      <protection hidden="1"/>
    </xf>
    <xf numFmtId="0" fontId="63" fillId="0" borderId="0" xfId="0" applyFont="1" applyAlignment="1" applyProtection="1">
      <alignment horizontal="center" wrapText="1"/>
      <protection hidden="1"/>
    </xf>
    <xf numFmtId="0" fontId="3" fillId="0" borderId="0" xfId="0" applyFont="1" applyAlignment="1" applyProtection="1">
      <alignment horizontal="left" vertical="top" wrapText="1"/>
      <protection hidden="1"/>
    </xf>
    <xf numFmtId="0" fontId="3" fillId="0" borderId="0" xfId="0" applyFont="1" applyAlignment="1" applyProtection="1">
      <alignment horizontal="left" vertical="top"/>
      <protection hidden="1"/>
    </xf>
    <xf numFmtId="0" fontId="61" fillId="0" borderId="0" xfId="0" applyFont="1" applyAlignment="1" applyProtection="1">
      <alignment horizontal="center" wrapText="1"/>
      <protection hidden="1"/>
    </xf>
    <xf numFmtId="0" fontId="61" fillId="0" borderId="0" xfId="0" applyFont="1" applyAlignment="1" applyProtection="1">
      <alignment horizontal="center"/>
      <protection hidden="1"/>
    </xf>
    <xf numFmtId="0" fontId="70" fillId="5" borderId="3" xfId="0" applyFont="1" applyFill="1" applyBorder="1" applyAlignment="1" applyProtection="1">
      <alignment horizontal="left"/>
      <protection locked="0"/>
    </xf>
    <xf numFmtId="44" fontId="70" fillId="5" borderId="3" xfId="0" applyNumberFormat="1" applyFont="1" applyFill="1" applyBorder="1" applyProtection="1">
      <protection locked="0"/>
    </xf>
    <xf numFmtId="14" fontId="70" fillId="5" borderId="3" xfId="0" applyNumberFormat="1" applyFont="1" applyFill="1" applyBorder="1" applyProtection="1">
      <protection locked="0"/>
    </xf>
    <xf numFmtId="0" fontId="70" fillId="5" borderId="3" xfId="0" applyFont="1" applyFill="1" applyBorder="1" applyProtection="1">
      <protection locked="0"/>
    </xf>
    <xf numFmtId="0" fontId="61" fillId="0" borderId="0" xfId="0" applyFont="1" applyAlignment="1" applyProtection="1">
      <alignment horizontal="left"/>
      <protection hidden="1"/>
    </xf>
    <xf numFmtId="0" fontId="70" fillId="5" borderId="30" xfId="0" applyFont="1" applyFill="1" applyBorder="1" applyAlignment="1" applyProtection="1">
      <alignment horizontal="left"/>
      <protection locked="0"/>
    </xf>
    <xf numFmtId="0" fontId="48" fillId="5" borderId="30" xfId="105" applyFill="1" applyBorder="1" applyAlignment="1" applyProtection="1">
      <alignment horizontal="left"/>
      <protection locked="0"/>
    </xf>
    <xf numFmtId="165" fontId="70" fillId="5" borderId="30" xfId="0" applyNumberFormat="1" applyFont="1" applyFill="1" applyBorder="1" applyAlignment="1" applyProtection="1">
      <alignment horizontal="left"/>
      <protection locked="0"/>
    </xf>
    <xf numFmtId="0" fontId="61" fillId="0" borderId="0" xfId="0" applyFont="1" applyAlignment="1" applyProtection="1">
      <alignment horizontal="left" vertical="center" wrapText="1"/>
      <protection hidden="1"/>
    </xf>
    <xf numFmtId="0" fontId="61" fillId="0" borderId="0" xfId="0" applyFont="1" applyAlignment="1" applyProtection="1">
      <alignment horizontal="left" vertical="center"/>
      <protection hidden="1"/>
    </xf>
    <xf numFmtId="0" fontId="61" fillId="0" borderId="2" xfId="0" applyFont="1" applyBorder="1" applyAlignment="1" applyProtection="1">
      <alignment horizontal="right"/>
      <protection hidden="1"/>
    </xf>
    <xf numFmtId="0" fontId="5" fillId="0" borderId="71" xfId="0" applyFont="1" applyBorder="1" applyAlignment="1" applyProtection="1">
      <alignment horizontal="center" vertical="center" wrapText="1"/>
      <protection hidden="1"/>
    </xf>
    <xf numFmtId="0" fontId="83" fillId="0" borderId="58" xfId="0" applyFont="1" applyBorder="1" applyAlignment="1" applyProtection="1">
      <alignment horizontal="left"/>
      <protection hidden="1"/>
    </xf>
    <xf numFmtId="49" fontId="70" fillId="5" borderId="3" xfId="0" applyNumberFormat="1" applyFont="1" applyFill="1" applyBorder="1" applyAlignment="1" applyProtection="1">
      <alignment horizontal="left"/>
      <protection locked="0"/>
    </xf>
    <xf numFmtId="166" fontId="70" fillId="0" borderId="3" xfId="58" applyNumberFormat="1" applyFont="1" applyBorder="1" applyAlignment="1" applyProtection="1">
      <alignment horizontal="center"/>
      <protection hidden="1"/>
    </xf>
    <xf numFmtId="165" fontId="70" fillId="5" borderId="3" xfId="0" applyNumberFormat="1" applyFont="1" applyFill="1" applyBorder="1" applyAlignment="1" applyProtection="1">
      <alignment horizontal="left"/>
      <protection locked="0"/>
    </xf>
    <xf numFmtId="0" fontId="82" fillId="0" borderId="0" xfId="0" applyFont="1" applyAlignment="1" applyProtection="1">
      <alignment horizontal="center" vertical="center"/>
      <protection hidden="1"/>
    </xf>
    <xf numFmtId="0" fontId="52" fillId="0" borderId="0" xfId="0" applyFont="1" applyAlignment="1" applyProtection="1">
      <alignment horizontal="center"/>
      <protection hidden="1"/>
    </xf>
    <xf numFmtId="0" fontId="52" fillId="0" borderId="0" xfId="0" applyFont="1" applyAlignment="1" applyProtection="1">
      <alignment horizontal="left"/>
      <protection hidden="1"/>
    </xf>
    <xf numFmtId="0" fontId="62" fillId="0" borderId="0" xfId="0" applyFont="1" applyAlignment="1" applyProtection="1">
      <alignment vertical="center" wrapText="1"/>
      <protection hidden="1"/>
    </xf>
    <xf numFmtId="0" fontId="52" fillId="8" borderId="3" xfId="0" applyFont="1" applyFill="1" applyBorder="1" applyAlignment="1" applyProtection="1">
      <alignment horizontal="left"/>
      <protection hidden="1"/>
    </xf>
    <xf numFmtId="0" fontId="61" fillId="8" borderId="0" xfId="0" applyFont="1" applyFill="1" applyAlignment="1" applyProtection="1">
      <alignment horizontal="left" vertical="center"/>
      <protection hidden="1"/>
    </xf>
    <xf numFmtId="0" fontId="61" fillId="0" borderId="0" xfId="0" applyFont="1" applyAlignment="1" applyProtection="1">
      <alignment horizontal="right" wrapText="1"/>
      <protection hidden="1"/>
    </xf>
    <xf numFmtId="0" fontId="68" fillId="0" borderId="0" xfId="0" applyFont="1" applyAlignment="1" applyProtection="1">
      <alignment horizontal="center" vertical="top" wrapText="1"/>
      <protection hidden="1"/>
    </xf>
    <xf numFmtId="0" fontId="70" fillId="5" borderId="3" xfId="0" applyFont="1" applyFill="1" applyBorder="1" applyAlignment="1" applyProtection="1">
      <alignment horizontal="center"/>
      <protection locked="0"/>
    </xf>
    <xf numFmtId="0" fontId="61" fillId="8" borderId="0" xfId="0" applyFont="1" applyFill="1" applyAlignment="1" applyProtection="1">
      <alignment horizontal="left" vertical="center" wrapText="1"/>
      <protection hidden="1"/>
    </xf>
    <xf numFmtId="0" fontId="48" fillId="0" borderId="0" xfId="105" applyAlignment="1">
      <alignment horizontal="center" vertical="top"/>
    </xf>
    <xf numFmtId="0" fontId="23" fillId="0" borderId="0" xfId="0" applyFont="1" applyAlignment="1" applyProtection="1">
      <alignment horizontal="left" vertical="top" wrapText="1"/>
      <protection hidden="1"/>
    </xf>
    <xf numFmtId="0" fontId="23" fillId="0" borderId="0" xfId="0" applyFont="1" applyAlignment="1" applyProtection="1">
      <alignment horizontal="left" vertical="top"/>
      <protection hidden="1"/>
    </xf>
    <xf numFmtId="0" fontId="2" fillId="0" borderId="0" xfId="0" applyFont="1" applyAlignment="1" applyProtection="1">
      <alignment horizontal="left" vertical="top" wrapText="1"/>
      <protection hidden="1"/>
    </xf>
    <xf numFmtId="0" fontId="157" fillId="30" borderId="0" xfId="0" applyFont="1" applyFill="1" applyAlignment="1" applyProtection="1">
      <alignment horizontal="left" vertical="center"/>
      <protection hidden="1"/>
    </xf>
    <xf numFmtId="0" fontId="145" fillId="30" borderId="0" xfId="0" applyFont="1" applyFill="1" applyAlignment="1" applyProtection="1">
      <alignment horizontal="left" vertical="center" wrapText="1"/>
      <protection hidden="1"/>
    </xf>
    <xf numFmtId="0" fontId="55" fillId="30" borderId="74" xfId="0" applyFont="1" applyFill="1" applyBorder="1" applyAlignment="1" applyProtection="1">
      <alignment vertical="center"/>
      <protection hidden="1"/>
    </xf>
    <xf numFmtId="0" fontId="23" fillId="8" borderId="0" xfId="0" applyFont="1" applyFill="1" applyAlignment="1" applyProtection="1">
      <alignment horizontal="left" vertical="top" wrapText="1"/>
      <protection hidden="1"/>
    </xf>
    <xf numFmtId="0" fontId="151" fillId="0" borderId="0" xfId="0" applyFont="1" applyAlignment="1" applyProtection="1">
      <alignment horizontal="left" vertical="top" wrapText="1"/>
      <protection hidden="1"/>
    </xf>
    <xf numFmtId="0" fontId="58" fillId="30" borderId="0" xfId="0" applyFont="1" applyFill="1" applyAlignment="1" applyProtection="1">
      <alignment horizontal="left" vertical="center" wrapText="1"/>
      <protection hidden="1"/>
    </xf>
    <xf numFmtId="0" fontId="5" fillId="0" borderId="0" xfId="0" applyFont="1" applyAlignment="1" applyProtection="1">
      <alignment horizontal="center" vertical="center"/>
      <protection hidden="1"/>
    </xf>
    <xf numFmtId="0" fontId="17" fillId="0" borderId="0" xfId="0" applyFont="1" applyAlignment="1" applyProtection="1">
      <alignment horizontal="center"/>
      <protection hidden="1"/>
    </xf>
    <xf numFmtId="0" fontId="0" fillId="0" borderId="0" xfId="0" applyAlignment="1" applyProtection="1">
      <alignment horizontal="right"/>
      <protection hidden="1"/>
    </xf>
    <xf numFmtId="0" fontId="0" fillId="0" borderId="9" xfId="0" applyBorder="1" applyAlignment="1" applyProtection="1">
      <alignment horizontal="right"/>
      <protection hidden="1"/>
    </xf>
    <xf numFmtId="0" fontId="18" fillId="0" borderId="0" xfId="0" applyFont="1" applyAlignment="1" applyProtection="1">
      <alignment horizontal="left" vertical="center" wrapText="1"/>
      <protection hidden="1"/>
    </xf>
    <xf numFmtId="0" fontId="18" fillId="0" borderId="0" xfId="0" applyFont="1" applyAlignment="1" applyProtection="1">
      <alignment horizontal="left" vertical="center"/>
      <protection hidden="1"/>
    </xf>
    <xf numFmtId="0" fontId="33" fillId="0" borderId="3" xfId="0" applyFont="1" applyBorder="1" applyAlignment="1" applyProtection="1">
      <alignment horizontal="left" vertical="top"/>
      <protection hidden="1"/>
    </xf>
    <xf numFmtId="0" fontId="84" fillId="0" borderId="3" xfId="0" applyFont="1" applyBorder="1" applyAlignment="1" applyProtection="1">
      <alignment horizontal="center" vertical="center" wrapText="1"/>
      <protection hidden="1"/>
    </xf>
    <xf numFmtId="0" fontId="70" fillId="0" borderId="30" xfId="0" applyFont="1" applyBorder="1" applyAlignment="1" applyProtection="1">
      <alignment horizontal="left"/>
      <protection hidden="1"/>
    </xf>
    <xf numFmtId="0" fontId="70" fillId="0" borderId="0" xfId="0" applyFont="1" applyAlignment="1" applyProtection="1">
      <alignment horizontal="left"/>
      <protection hidden="1"/>
    </xf>
    <xf numFmtId="165" fontId="70" fillId="0" borderId="3" xfId="0" applyNumberFormat="1" applyFont="1" applyBorder="1" applyAlignment="1" applyProtection="1">
      <alignment horizontal="left"/>
      <protection hidden="1"/>
    </xf>
    <xf numFmtId="0" fontId="70" fillId="0" borderId="3" xfId="0" applyFont="1" applyBorder="1" applyAlignment="1" applyProtection="1">
      <alignment horizontal="left"/>
      <protection hidden="1"/>
    </xf>
    <xf numFmtId="165" fontId="70" fillId="0" borderId="0" xfId="0" applyNumberFormat="1" applyFont="1" applyAlignment="1" applyProtection="1">
      <alignment horizontal="left"/>
      <protection hidden="1"/>
    </xf>
    <xf numFmtId="0" fontId="99" fillId="0" borderId="0" xfId="0" applyFont="1" applyAlignment="1" applyProtection="1">
      <alignment horizontal="center" vertical="center"/>
      <protection hidden="1"/>
    </xf>
    <xf numFmtId="0" fontId="83" fillId="0" borderId="47" xfId="0" applyFont="1" applyBorder="1" applyAlignment="1" applyProtection="1">
      <alignment horizontal="left"/>
      <protection hidden="1"/>
    </xf>
    <xf numFmtId="0" fontId="52" fillId="0" borderId="0" xfId="0" applyFont="1" applyAlignment="1" applyProtection="1">
      <alignment horizontal="left" vertical="top" wrapText="1"/>
      <protection hidden="1"/>
    </xf>
    <xf numFmtId="166" fontId="70" fillId="0" borderId="48" xfId="58" applyNumberFormat="1" applyFont="1" applyBorder="1" applyProtection="1">
      <protection hidden="1"/>
    </xf>
    <xf numFmtId="0" fontId="3" fillId="0" borderId="0" xfId="0" applyFont="1" applyAlignment="1" applyProtection="1">
      <alignment horizontal="right"/>
      <protection hidden="1"/>
    </xf>
    <xf numFmtId="0" fontId="2" fillId="0" borderId="0" xfId="0" applyFont="1" applyAlignment="1" applyProtection="1">
      <alignment horizontal="center"/>
      <protection hidden="1"/>
    </xf>
    <xf numFmtId="0" fontId="70" fillId="8" borderId="3" xfId="0" applyFont="1" applyFill="1" applyBorder="1" applyAlignment="1" applyProtection="1">
      <alignment horizontal="left"/>
      <protection hidden="1"/>
    </xf>
    <xf numFmtId="14" fontId="36" fillId="5" borderId="3" xfId="0" applyNumberFormat="1" applyFont="1" applyFill="1" applyBorder="1" applyProtection="1">
      <protection locked="0"/>
    </xf>
    <xf numFmtId="0" fontId="36" fillId="5" borderId="3" xfId="0" applyFont="1" applyFill="1" applyBorder="1" applyProtection="1">
      <protection locked="0"/>
    </xf>
    <xf numFmtId="0" fontId="8" fillId="0" borderId="0" xfId="0" applyFont="1" applyAlignment="1" applyProtection="1">
      <alignment horizontal="left" vertical="center"/>
      <protection hidden="1"/>
    </xf>
    <xf numFmtId="0" fontId="9" fillId="0" borderId="0" xfId="0" applyFont="1" applyAlignment="1" applyProtection="1">
      <alignment horizontal="left"/>
      <protection hidden="1"/>
    </xf>
    <xf numFmtId="0" fontId="58" fillId="30" borderId="0" xfId="0" applyFont="1" applyFill="1" applyAlignment="1" applyProtection="1">
      <alignment vertical="center"/>
      <protection hidden="1"/>
    </xf>
    <xf numFmtId="0" fontId="153" fillId="0" borderId="0" xfId="0" applyFont="1" applyAlignment="1" applyProtection="1">
      <alignment horizontal="center" vertical="center"/>
      <protection hidden="1"/>
    </xf>
    <xf numFmtId="0" fontId="55" fillId="30" borderId="0" xfId="0" applyFont="1" applyFill="1" applyAlignment="1" applyProtection="1">
      <alignment vertical="center" wrapText="1"/>
      <protection hidden="1"/>
    </xf>
    <xf numFmtId="0" fontId="2" fillId="0" borderId="0" xfId="0" applyFont="1" applyAlignment="1" applyProtection="1">
      <alignment horizontal="left" vertical="top"/>
      <protection hidden="1"/>
    </xf>
    <xf numFmtId="0" fontId="52" fillId="0" borderId="0" xfId="0" applyFont="1" applyAlignment="1" applyProtection="1">
      <alignment horizontal="left" vertical="top"/>
      <protection hidden="1"/>
    </xf>
    <xf numFmtId="0" fontId="83" fillId="0" borderId="44" xfId="0" applyFont="1" applyBorder="1" applyAlignment="1" applyProtection="1">
      <alignment horizontal="left" vertical="center"/>
      <protection hidden="1"/>
    </xf>
    <xf numFmtId="0" fontId="2" fillId="8" borderId="0" xfId="0" applyFont="1" applyFill="1" applyAlignment="1" applyProtection="1">
      <alignment horizontal="left" vertical="top" wrapText="1"/>
      <protection hidden="1"/>
    </xf>
    <xf numFmtId="0" fontId="0" fillId="5" borderId="22"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90" fillId="0" borderId="2" xfId="110" applyFont="1" applyBorder="1" applyAlignment="1" applyProtection="1">
      <alignment horizontal="center" vertical="center" wrapText="1"/>
      <protection hidden="1"/>
    </xf>
    <xf numFmtId="0" fontId="59" fillId="6" borderId="22" xfId="0" applyFont="1" applyFill="1" applyBorder="1" applyAlignment="1" applyProtection="1">
      <alignment horizontal="center" vertical="center" wrapText="1"/>
      <protection hidden="1"/>
    </xf>
    <xf numFmtId="0" fontId="59" fillId="6" borderId="24" xfId="0" applyFont="1" applyFill="1" applyBorder="1" applyAlignment="1" applyProtection="1">
      <alignment horizontal="center" vertical="center" wrapText="1"/>
      <protection hidden="1"/>
    </xf>
    <xf numFmtId="0" fontId="0" fillId="5" borderId="22" xfId="0" applyFill="1" applyBorder="1" applyAlignment="1" applyProtection="1">
      <alignment horizontal="center" wrapText="1"/>
      <protection locked="0"/>
    </xf>
    <xf numFmtId="0" fontId="0" fillId="5" borderId="24" xfId="0" applyFill="1" applyBorder="1" applyAlignment="1" applyProtection="1">
      <alignment horizontal="center" wrapText="1"/>
      <protection locked="0"/>
    </xf>
    <xf numFmtId="0" fontId="110" fillId="3" borderId="1" xfId="0" applyFont="1" applyFill="1" applyBorder="1" applyAlignment="1" applyProtection="1">
      <alignment horizontal="center"/>
      <protection hidden="1"/>
    </xf>
    <xf numFmtId="0" fontId="111" fillId="3" borderId="1" xfId="0" applyFont="1" applyFill="1" applyBorder="1" applyAlignment="1" applyProtection="1">
      <alignment horizontal="center"/>
      <protection hidden="1"/>
    </xf>
    <xf numFmtId="0" fontId="0" fillId="0" borderId="0" xfId="0" applyAlignment="1" applyProtection="1">
      <alignment horizontal="left" wrapText="1"/>
      <protection hidden="1"/>
    </xf>
    <xf numFmtId="0" fontId="0" fillId="0" borderId="22" xfId="0" applyBorder="1" applyAlignment="1" applyProtection="1">
      <alignment horizontal="center"/>
      <protection hidden="1"/>
    </xf>
    <xf numFmtId="0" fontId="0" fillId="0" borderId="24" xfId="0" applyBorder="1" applyAlignment="1" applyProtection="1">
      <alignment horizontal="center"/>
      <protection hidden="1"/>
    </xf>
    <xf numFmtId="6" fontId="0" fillId="0" borderId="22" xfId="0" applyNumberFormat="1" applyBorder="1" applyAlignment="1" applyProtection="1">
      <alignment horizontal="center"/>
      <protection hidden="1"/>
    </xf>
    <xf numFmtId="6" fontId="0" fillId="0" borderId="24" xfId="0" applyNumberFormat="1" applyBorder="1" applyAlignment="1" applyProtection="1">
      <alignment horizontal="center"/>
      <protection hidden="1"/>
    </xf>
    <xf numFmtId="0" fontId="172" fillId="8" borderId="45" xfId="0" applyFont="1" applyFill="1" applyBorder="1" applyAlignment="1" applyProtection="1">
      <alignment horizontal="left" vertical="center"/>
      <protection hidden="1"/>
    </xf>
    <xf numFmtId="0" fontId="172" fillId="8" borderId="0" xfId="0" applyFont="1" applyFill="1" applyAlignment="1" applyProtection="1">
      <alignment horizontal="left" vertical="center"/>
      <protection hidden="1"/>
    </xf>
    <xf numFmtId="0" fontId="4" fillId="8" borderId="0" xfId="0" applyFont="1" applyFill="1" applyAlignment="1" applyProtection="1">
      <alignment horizontal="left" vertical="top" wrapText="1"/>
      <protection hidden="1"/>
    </xf>
    <xf numFmtId="0" fontId="154" fillId="8" borderId="0" xfId="0" applyFont="1" applyFill="1" applyAlignment="1" applyProtection="1">
      <alignment horizontal="left" vertical="top" wrapText="1"/>
      <protection hidden="1"/>
    </xf>
    <xf numFmtId="0" fontId="74" fillId="26" borderId="0" xfId="0" applyFont="1" applyFill="1" applyAlignment="1">
      <alignment horizontal="left" vertical="top" wrapText="1"/>
    </xf>
    <xf numFmtId="0" fontId="74" fillId="26" borderId="0" xfId="0" applyFont="1" applyFill="1" applyAlignment="1">
      <alignment horizontal="left" vertical="top"/>
    </xf>
    <xf numFmtId="0" fontId="74" fillId="26" borderId="0" xfId="0" applyFont="1" applyFill="1" applyAlignment="1" applyProtection="1">
      <alignment horizontal="left" vertical="top" wrapText="1"/>
      <protection hidden="1"/>
    </xf>
    <xf numFmtId="0" fontId="165" fillId="26" borderId="0" xfId="105" applyFont="1" applyFill="1" applyAlignment="1" applyProtection="1">
      <alignment horizontal="center" vertical="top" wrapText="1"/>
      <protection hidden="1"/>
    </xf>
    <xf numFmtId="0" fontId="74" fillId="26" borderId="0" xfId="0" applyFont="1" applyFill="1" applyAlignment="1" applyProtection="1">
      <alignment horizontal="center" vertical="top" wrapText="1"/>
      <protection hidden="1"/>
    </xf>
    <xf numFmtId="0" fontId="160" fillId="26" borderId="0" xfId="0" applyFont="1" applyFill="1" applyAlignment="1" applyProtection="1">
      <alignment horizontal="left" vertical="center"/>
      <protection hidden="1"/>
    </xf>
    <xf numFmtId="0" fontId="159" fillId="26" borderId="0" xfId="0" applyFont="1" applyFill="1" applyAlignment="1" applyProtection="1">
      <alignment horizontal="left"/>
      <protection hidden="1"/>
    </xf>
    <xf numFmtId="0" fontId="59" fillId="28" borderId="75" xfId="0" applyFont="1" applyFill="1" applyBorder="1" applyAlignment="1" applyProtection="1">
      <alignment horizontal="center" vertical="center"/>
      <protection hidden="1"/>
    </xf>
    <xf numFmtId="0" fontId="59" fillId="28" borderId="80" xfId="0" applyFont="1" applyFill="1" applyBorder="1" applyAlignment="1" applyProtection="1">
      <alignment horizontal="center" vertical="center"/>
      <protection hidden="1"/>
    </xf>
    <xf numFmtId="0" fontId="52" fillId="24" borderId="75" xfId="0" applyFont="1" applyFill="1" applyBorder="1" applyAlignment="1" applyProtection="1">
      <alignment horizontal="left" vertical="center"/>
      <protection hidden="1"/>
    </xf>
    <xf numFmtId="0" fontId="52" fillId="24" borderId="76" xfId="0" applyFont="1" applyFill="1" applyBorder="1" applyAlignment="1" applyProtection="1">
      <alignment horizontal="left" vertical="center"/>
      <protection hidden="1"/>
    </xf>
    <xf numFmtId="0" fontId="52" fillId="24" borderId="77" xfId="0" applyFont="1" applyFill="1" applyBorder="1" applyAlignment="1" applyProtection="1">
      <alignment horizontal="center" vertical="center"/>
      <protection hidden="1"/>
    </xf>
    <xf numFmtId="0" fontId="52" fillId="24" borderId="75" xfId="0" applyFont="1" applyFill="1" applyBorder="1" applyAlignment="1" applyProtection="1">
      <alignment horizontal="center" vertical="center"/>
      <protection hidden="1"/>
    </xf>
    <xf numFmtId="0" fontId="52" fillId="10" borderId="77" xfId="0" applyFont="1" applyFill="1" applyBorder="1" applyAlignment="1" applyProtection="1">
      <alignment horizontal="left"/>
      <protection hidden="1"/>
    </xf>
    <xf numFmtId="0" fontId="52" fillId="10" borderId="75" xfId="0" applyFont="1" applyFill="1" applyBorder="1" applyAlignment="1" applyProtection="1">
      <alignment horizontal="left"/>
      <protection hidden="1"/>
    </xf>
    <xf numFmtId="0" fontId="52" fillId="24" borderId="79" xfId="0" applyFont="1" applyFill="1" applyBorder="1" applyAlignment="1" applyProtection="1">
      <alignment horizontal="center" vertical="center"/>
      <protection hidden="1"/>
    </xf>
    <xf numFmtId="0" fontId="52" fillId="24" borderId="84" xfId="0" applyFont="1" applyFill="1" applyBorder="1" applyAlignment="1" applyProtection="1">
      <alignment horizontal="left" vertical="center"/>
      <protection hidden="1"/>
    </xf>
    <xf numFmtId="0" fontId="52" fillId="24" borderId="79" xfId="0" applyFont="1" applyFill="1" applyBorder="1" applyAlignment="1" applyProtection="1">
      <alignment horizontal="left" vertical="center"/>
      <protection hidden="1"/>
    </xf>
    <xf numFmtId="0" fontId="52" fillId="24" borderId="77" xfId="0" applyFont="1" applyFill="1" applyBorder="1" applyAlignment="1" applyProtection="1">
      <alignment horizontal="left" vertical="center"/>
      <protection hidden="1"/>
    </xf>
    <xf numFmtId="0" fontId="52" fillId="10" borderId="85" xfId="0" applyFont="1" applyFill="1" applyBorder="1" applyAlignment="1" applyProtection="1">
      <alignment horizontal="left"/>
      <protection hidden="1"/>
    </xf>
    <xf numFmtId="0" fontId="52" fillId="10" borderId="0" xfId="0" applyFont="1" applyFill="1" applyAlignment="1" applyProtection="1">
      <alignment horizontal="left"/>
      <protection hidden="1"/>
    </xf>
    <xf numFmtId="0" fontId="52" fillId="24" borderId="75" xfId="0" applyFont="1" applyFill="1" applyBorder="1" applyAlignment="1" applyProtection="1">
      <alignment horizontal="center" vertical="center" wrapText="1"/>
      <protection hidden="1"/>
    </xf>
    <xf numFmtId="0" fontId="52" fillId="10" borderId="81" xfId="0" applyFont="1" applyFill="1" applyBorder="1" applyAlignment="1" applyProtection="1">
      <alignment horizontal="center"/>
      <protection hidden="1"/>
    </xf>
    <xf numFmtId="0" fontId="52" fillId="10" borderId="78" xfId="0" applyFont="1" applyFill="1" applyBorder="1" applyAlignment="1" applyProtection="1">
      <alignment horizontal="center"/>
      <protection hidden="1"/>
    </xf>
    <xf numFmtId="0" fontId="52" fillId="10" borderId="82" xfId="0" applyFont="1" applyFill="1" applyBorder="1" applyAlignment="1" applyProtection="1">
      <alignment horizontal="center"/>
      <protection hidden="1"/>
    </xf>
    <xf numFmtId="0" fontId="52" fillId="10" borderId="83" xfId="0" applyFont="1" applyFill="1" applyBorder="1" applyAlignment="1" applyProtection="1">
      <alignment horizontal="center"/>
      <protection hidden="1"/>
    </xf>
    <xf numFmtId="0" fontId="52" fillId="10" borderId="61" xfId="0" applyFont="1" applyFill="1" applyBorder="1" applyAlignment="1" applyProtection="1">
      <alignment horizontal="center"/>
      <protection hidden="1"/>
    </xf>
    <xf numFmtId="0" fontId="52" fillId="10" borderId="84" xfId="0" applyFont="1" applyFill="1" applyBorder="1" applyAlignment="1" applyProtection="1">
      <alignment horizontal="center"/>
      <protection hidden="1"/>
    </xf>
    <xf numFmtId="0" fontId="52" fillId="10" borderId="80" xfId="0" applyFont="1" applyFill="1" applyBorder="1" applyAlignment="1" applyProtection="1">
      <alignment horizontal="center"/>
      <protection hidden="1"/>
    </xf>
    <xf numFmtId="0" fontId="52" fillId="10" borderId="79" xfId="0" applyFont="1" applyFill="1" applyBorder="1" applyAlignment="1" applyProtection="1">
      <alignment horizontal="center"/>
      <protection hidden="1"/>
    </xf>
    <xf numFmtId="0" fontId="52" fillId="24" borderId="78" xfId="0" applyFont="1" applyFill="1" applyBorder="1" applyAlignment="1" applyProtection="1">
      <alignment horizontal="center" vertical="center"/>
      <protection hidden="1"/>
    </xf>
    <xf numFmtId="0" fontId="52" fillId="24" borderId="0" xfId="0" applyFont="1" applyFill="1" applyAlignment="1" applyProtection="1">
      <alignment horizontal="center" vertical="center"/>
      <protection hidden="1"/>
    </xf>
    <xf numFmtId="0" fontId="59" fillId="28" borderId="85" xfId="0" applyFont="1" applyFill="1" applyBorder="1" applyAlignment="1" applyProtection="1">
      <alignment horizontal="center" vertical="center"/>
      <protection hidden="1"/>
    </xf>
    <xf numFmtId="0" fontId="59" fillId="28" borderId="0" xfId="0" applyFont="1" applyFill="1" applyAlignment="1" applyProtection="1">
      <alignment horizontal="center" vertical="center"/>
      <protection hidden="1"/>
    </xf>
    <xf numFmtId="0" fontId="59" fillId="29" borderId="85" xfId="0" applyFont="1" applyFill="1" applyBorder="1" applyAlignment="1" applyProtection="1">
      <alignment horizontal="center"/>
      <protection hidden="1"/>
    </xf>
    <xf numFmtId="0" fontId="59" fillId="29" borderId="0" xfId="0" applyFont="1" applyFill="1" applyAlignment="1" applyProtection="1">
      <alignment horizontal="center"/>
      <protection hidden="1"/>
    </xf>
    <xf numFmtId="0" fontId="52" fillId="24" borderId="82" xfId="0" applyFont="1" applyFill="1" applyBorder="1" applyAlignment="1" applyProtection="1">
      <alignment horizontal="left" vertical="center"/>
      <protection hidden="1"/>
    </xf>
    <xf numFmtId="0" fontId="52" fillId="24" borderId="80" xfId="0" applyFont="1" applyFill="1" applyBorder="1" applyAlignment="1" applyProtection="1">
      <alignment horizontal="left" vertical="center"/>
      <protection hidden="1"/>
    </xf>
    <xf numFmtId="0" fontId="52" fillId="24" borderId="80" xfId="0" applyFont="1" applyFill="1" applyBorder="1" applyAlignment="1" applyProtection="1">
      <alignment horizontal="center" vertical="center"/>
      <protection hidden="1"/>
    </xf>
    <xf numFmtId="0" fontId="59" fillId="28" borderId="86" xfId="0" applyFont="1" applyFill="1" applyBorder="1" applyAlignment="1" applyProtection="1">
      <alignment horizontal="center" vertical="center"/>
      <protection hidden="1"/>
    </xf>
    <xf numFmtId="0" fontId="52" fillId="24" borderId="75" xfId="0" applyFont="1" applyFill="1" applyBorder="1" applyAlignment="1" applyProtection="1">
      <alignment horizontal="center"/>
      <protection hidden="1"/>
    </xf>
    <xf numFmtId="0" fontId="52" fillId="24" borderId="80" xfId="0" applyFont="1" applyFill="1" applyBorder="1" applyAlignment="1" applyProtection="1">
      <alignment horizontal="center"/>
      <protection hidden="1"/>
    </xf>
    <xf numFmtId="0" fontId="59" fillId="28" borderId="87" xfId="0" applyFont="1" applyFill="1" applyBorder="1" applyAlignment="1" applyProtection="1">
      <alignment horizontal="center" vertical="center"/>
      <protection hidden="1"/>
    </xf>
    <xf numFmtId="0" fontId="2" fillId="10" borderId="0" xfId="0" applyFont="1" applyFill="1" applyAlignment="1" applyProtection="1">
      <alignment horizontal="left" vertical="top"/>
      <protection hidden="1"/>
    </xf>
    <xf numFmtId="2" fontId="52" fillId="24" borderId="80" xfId="0" applyNumberFormat="1" applyFont="1" applyFill="1" applyBorder="1" applyAlignment="1" applyProtection="1">
      <alignment horizontal="center" vertical="center"/>
      <protection hidden="1"/>
    </xf>
    <xf numFmtId="2" fontId="52" fillId="24" borderId="79" xfId="0" applyNumberFormat="1" applyFont="1" applyFill="1" applyBorder="1" applyAlignment="1" applyProtection="1">
      <alignment horizontal="center" vertical="center"/>
      <protection hidden="1"/>
    </xf>
    <xf numFmtId="2" fontId="52" fillId="24" borderId="81" xfId="0" applyNumberFormat="1" applyFont="1" applyFill="1" applyBorder="1" applyAlignment="1" applyProtection="1">
      <alignment horizontal="center" vertical="center"/>
      <protection hidden="1"/>
    </xf>
    <xf numFmtId="2" fontId="52" fillId="24" borderId="82" xfId="0" applyNumberFormat="1" applyFont="1" applyFill="1" applyBorder="1" applyAlignment="1" applyProtection="1">
      <alignment horizontal="center" vertical="center"/>
      <protection hidden="1"/>
    </xf>
    <xf numFmtId="2" fontId="52" fillId="24" borderId="83" xfId="0" applyNumberFormat="1" applyFont="1" applyFill="1" applyBorder="1" applyAlignment="1" applyProtection="1">
      <alignment horizontal="center" vertical="center"/>
      <protection hidden="1"/>
    </xf>
    <xf numFmtId="2" fontId="52" fillId="24" borderId="84" xfId="0" applyNumberFormat="1" applyFont="1" applyFill="1" applyBorder="1" applyAlignment="1" applyProtection="1">
      <alignment horizontal="center" vertical="center"/>
      <protection hidden="1"/>
    </xf>
    <xf numFmtId="0" fontId="52" fillId="24" borderId="81" xfId="0" applyFont="1" applyFill="1" applyBorder="1" applyAlignment="1" applyProtection="1">
      <alignment horizontal="center" vertical="center"/>
      <protection hidden="1"/>
    </xf>
    <xf numFmtId="0" fontId="52" fillId="24" borderId="82" xfId="0" applyFont="1" applyFill="1" applyBorder="1" applyAlignment="1" applyProtection="1">
      <alignment horizontal="center" vertical="center"/>
      <protection hidden="1"/>
    </xf>
    <xf numFmtId="0" fontId="52" fillId="24" borderId="83" xfId="0" applyFont="1" applyFill="1" applyBorder="1" applyAlignment="1" applyProtection="1">
      <alignment horizontal="center" vertical="center"/>
      <protection hidden="1"/>
    </xf>
    <xf numFmtId="0" fontId="52" fillId="24" borderId="84" xfId="0" applyFont="1" applyFill="1" applyBorder="1" applyAlignment="1" applyProtection="1">
      <alignment horizontal="center" vertical="center"/>
      <protection hidden="1"/>
    </xf>
    <xf numFmtId="0" fontId="52" fillId="24" borderId="85" xfId="0" applyFont="1" applyFill="1" applyBorder="1" applyAlignment="1" applyProtection="1">
      <alignment horizontal="center" vertical="center"/>
      <protection hidden="1"/>
    </xf>
    <xf numFmtId="0" fontId="52" fillId="24" borderId="86" xfId="0" applyFont="1" applyFill="1" applyBorder="1" applyAlignment="1" applyProtection="1">
      <alignment horizontal="center" vertical="center"/>
      <protection hidden="1"/>
    </xf>
    <xf numFmtId="2" fontId="52" fillId="24" borderId="78" xfId="0" applyNumberFormat="1" applyFont="1" applyFill="1" applyBorder="1" applyAlignment="1" applyProtection="1">
      <alignment horizontal="center" vertical="center"/>
      <protection hidden="1"/>
    </xf>
    <xf numFmtId="2" fontId="52" fillId="24" borderId="85" xfId="0" applyNumberFormat="1" applyFont="1" applyFill="1" applyBorder="1" applyAlignment="1" applyProtection="1">
      <alignment horizontal="center" vertical="center"/>
      <protection hidden="1"/>
    </xf>
    <xf numFmtId="2" fontId="52" fillId="24" borderId="0" xfId="0" applyNumberFormat="1" applyFont="1" applyFill="1" applyAlignment="1" applyProtection="1">
      <alignment horizontal="center" vertical="center"/>
      <protection hidden="1"/>
    </xf>
    <xf numFmtId="0" fontId="17" fillId="0" borderId="0" xfId="126" applyNumberFormat="1" applyFont="1" applyProtection="1">
      <protection hidden="1"/>
    </xf>
    <xf numFmtId="0" fontId="2" fillId="0" borderId="3" xfId="126" applyNumberFormat="1" applyFont="1" applyBorder="1" applyProtection="1">
      <protection hidden="1"/>
    </xf>
    <xf numFmtId="0" fontId="2" fillId="5" borderId="2" xfId="126" applyNumberFormat="1" applyFont="1" applyFill="1" applyBorder="1" applyAlignment="1" applyProtection="1">
      <alignment horizontal="left" vertical="top"/>
      <protection locked="0"/>
    </xf>
    <xf numFmtId="0" fontId="2" fillId="5" borderId="14" xfId="126" applyNumberFormat="1" applyFont="1" applyFill="1" applyBorder="1" applyAlignment="1" applyProtection="1">
      <alignment horizontal="left" vertical="top"/>
      <protection locked="0"/>
    </xf>
    <xf numFmtId="0" fontId="2" fillId="5" borderId="3" xfId="126" applyNumberFormat="1" applyFont="1" applyFill="1" applyBorder="1" applyAlignment="1" applyProtection="1">
      <alignment horizontal="left" vertical="top"/>
      <protection locked="0"/>
    </xf>
    <xf numFmtId="0" fontId="2" fillId="5" borderId="10" xfId="126" applyNumberFormat="1" applyFont="1" applyFill="1" applyBorder="1" applyAlignment="1" applyProtection="1">
      <alignment horizontal="left" vertical="top"/>
      <protection locked="0"/>
    </xf>
    <xf numFmtId="0" fontId="2" fillId="0" borderId="5" xfId="126" applyNumberFormat="1" applyFont="1" applyBorder="1" applyProtection="1">
      <protection hidden="1"/>
    </xf>
    <xf numFmtId="0" fontId="2" fillId="0" borderId="0" xfId="126" applyNumberFormat="1" applyFont="1" applyProtection="1">
      <protection hidden="1"/>
    </xf>
    <xf numFmtId="0" fontId="2" fillId="0" borderId="0" xfId="126" applyNumberFormat="1" applyFont="1" applyAlignment="1" applyProtection="1">
      <alignment horizontal="center"/>
      <protection hidden="1"/>
    </xf>
    <xf numFmtId="0" fontId="2" fillId="5" borderId="30" xfId="126" applyNumberFormat="1" applyFont="1" applyFill="1" applyBorder="1" applyAlignment="1" applyProtection="1">
      <alignment horizontal="left"/>
      <protection locked="0"/>
    </xf>
    <xf numFmtId="0" fontId="17" fillId="0" borderId="0" xfId="126" applyNumberFormat="1" applyFont="1" applyAlignment="1" applyProtection="1">
      <alignment horizontal="center"/>
      <protection hidden="1"/>
    </xf>
    <xf numFmtId="0" fontId="2" fillId="5" borderId="22" xfId="126" applyNumberFormat="1" applyFont="1" applyFill="1" applyBorder="1" applyAlignment="1" applyProtection="1">
      <alignment horizontal="center"/>
      <protection locked="0"/>
    </xf>
    <xf numFmtId="0" fontId="2" fillId="5" borderId="24" xfId="126" applyNumberFormat="1" applyFont="1" applyFill="1" applyBorder="1" applyAlignment="1" applyProtection="1">
      <alignment horizontal="center"/>
      <protection locked="0"/>
    </xf>
    <xf numFmtId="0" fontId="2" fillId="5" borderId="30" xfId="126" applyNumberFormat="1" applyFont="1" applyFill="1" applyBorder="1" applyAlignment="1" applyProtection="1">
      <alignment horizontal="center"/>
      <protection locked="0"/>
    </xf>
    <xf numFmtId="0" fontId="2" fillId="5" borderId="2" xfId="126" applyNumberFormat="1" applyFont="1" applyFill="1" applyBorder="1" applyAlignment="1" applyProtection="1">
      <alignment horizontal="left" vertical="top" wrapText="1"/>
      <protection locked="0"/>
    </xf>
    <xf numFmtId="0" fontId="2" fillId="5" borderId="14" xfId="126" applyNumberFormat="1" applyFont="1" applyFill="1" applyBorder="1" applyAlignment="1" applyProtection="1">
      <alignment horizontal="left" vertical="top" wrapText="1"/>
      <protection locked="0"/>
    </xf>
    <xf numFmtId="0" fontId="2" fillId="5" borderId="3" xfId="126" applyNumberFormat="1" applyFont="1" applyFill="1" applyBorder="1" applyAlignment="1" applyProtection="1">
      <alignment horizontal="left" vertical="top" wrapText="1"/>
      <protection locked="0"/>
    </xf>
    <xf numFmtId="0" fontId="2" fillId="5" borderId="10" xfId="126" applyNumberFormat="1" applyFont="1" applyFill="1" applyBorder="1" applyAlignment="1" applyProtection="1">
      <alignment horizontal="left" vertical="top" wrapText="1"/>
      <protection locked="0"/>
    </xf>
    <xf numFmtId="0" fontId="120" fillId="0" borderId="0" xfId="126" applyNumberFormat="1" applyFont="1" applyProtection="1">
      <protection hidden="1"/>
    </xf>
    <xf numFmtId="0" fontId="0" fillId="5" borderId="3" xfId="0" applyFill="1" applyBorder="1" applyAlignment="1" applyProtection="1">
      <alignment horizontal="center"/>
      <protection locked="0"/>
    </xf>
    <xf numFmtId="0" fontId="138" fillId="8" borderId="0" xfId="0" applyFont="1" applyFill="1" applyAlignment="1" applyProtection="1">
      <alignment horizontal="left" wrapText="1"/>
      <protection hidden="1"/>
    </xf>
    <xf numFmtId="0" fontId="138" fillId="8" borderId="0" xfId="0" applyFont="1" applyFill="1" applyAlignment="1" applyProtection="1">
      <alignment horizontal="center" wrapText="1"/>
      <protection hidden="1"/>
    </xf>
    <xf numFmtId="0" fontId="117" fillId="0" borderId="71" xfId="0" applyFont="1" applyBorder="1" applyAlignment="1" applyProtection="1">
      <alignment horizontal="center" vertical="center" wrapText="1"/>
      <protection hidden="1"/>
    </xf>
    <xf numFmtId="0" fontId="91" fillId="0" borderId="2" xfId="0" applyFont="1" applyBorder="1" applyAlignment="1" applyProtection="1">
      <alignment horizontal="left"/>
      <protection hidden="1"/>
    </xf>
    <xf numFmtId="0" fontId="138" fillId="0" borderId="0" xfId="0" applyFont="1" applyAlignment="1" applyProtection="1">
      <alignment horizontal="left" vertical="center" wrapText="1"/>
      <protection hidden="1"/>
    </xf>
    <xf numFmtId="0" fontId="139" fillId="0" borderId="0" xfId="0" applyFont="1" applyAlignment="1" applyProtection="1">
      <alignment horizontal="left"/>
      <protection hidden="1"/>
    </xf>
    <xf numFmtId="0" fontId="138" fillId="0" borderId="0" xfId="0" applyFont="1" applyAlignment="1" applyProtection="1">
      <alignment horizontal="left" wrapText="1"/>
      <protection hidden="1"/>
    </xf>
    <xf numFmtId="0" fontId="94" fillId="8" borderId="3" xfId="0" applyFont="1" applyFill="1" applyBorder="1" applyAlignment="1" applyProtection="1">
      <alignment horizontal="center" vertical="center" wrapText="1"/>
      <protection locked="0"/>
    </xf>
    <xf numFmtId="0" fontId="94" fillId="5" borderId="22" xfId="0" applyFont="1" applyFill="1" applyBorder="1" applyAlignment="1" applyProtection="1">
      <alignment horizontal="center" vertical="center"/>
      <protection locked="0"/>
    </xf>
    <xf numFmtId="0" fontId="94" fillId="5" borderId="24" xfId="0" applyFont="1" applyFill="1" applyBorder="1" applyAlignment="1" applyProtection="1">
      <alignment horizontal="center" vertical="center"/>
      <protection locked="0"/>
    </xf>
    <xf numFmtId="0" fontId="94" fillId="5" borderId="30" xfId="0" applyFont="1" applyFill="1" applyBorder="1" applyAlignment="1" applyProtection="1">
      <alignment horizontal="center" vertical="center"/>
      <protection locked="0"/>
    </xf>
    <xf numFmtId="0" fontId="70" fillId="8" borderId="22" xfId="0" applyFont="1" applyFill="1" applyBorder="1" applyAlignment="1" applyProtection="1">
      <alignment horizontal="center"/>
      <protection hidden="1"/>
    </xf>
    <xf numFmtId="0" fontId="70" fillId="8" borderId="24" xfId="0" applyFont="1" applyFill="1" applyBorder="1" applyAlignment="1" applyProtection="1">
      <alignment horizontal="center"/>
      <protection hidden="1"/>
    </xf>
    <xf numFmtId="0" fontId="94" fillId="5" borderId="1" xfId="0" applyFont="1" applyFill="1" applyBorder="1" applyAlignment="1" applyProtection="1">
      <alignment horizontal="center" vertical="center" wrapText="1"/>
      <protection locked="0"/>
    </xf>
    <xf numFmtId="0" fontId="94" fillId="5" borderId="1" xfId="0" applyFont="1" applyFill="1" applyBorder="1" applyAlignment="1" applyProtection="1">
      <alignment horizontal="left" vertical="center" wrapText="1"/>
      <protection locked="0"/>
    </xf>
    <xf numFmtId="0" fontId="70" fillId="8" borderId="1" xfId="0" applyFont="1" applyFill="1" applyBorder="1" applyAlignment="1" applyProtection="1">
      <alignment horizontal="center"/>
      <protection hidden="1"/>
    </xf>
    <xf numFmtId="0" fontId="70" fillId="8" borderId="30" xfId="0" applyFont="1" applyFill="1" applyBorder="1" applyAlignment="1" applyProtection="1">
      <alignment horizontal="center"/>
      <protection hidden="1"/>
    </xf>
    <xf numFmtId="0" fontId="70" fillId="8" borderId="22" xfId="0" applyFont="1" applyFill="1" applyBorder="1" applyAlignment="1" applyProtection="1">
      <alignment horizontal="center" vertical="center"/>
      <protection hidden="1"/>
    </xf>
    <xf numFmtId="0" fontId="70" fillId="8" borderId="24" xfId="0" applyFont="1" applyFill="1" applyBorder="1" applyAlignment="1" applyProtection="1">
      <alignment horizontal="center" vertical="center"/>
      <protection hidden="1"/>
    </xf>
    <xf numFmtId="0" fontId="70" fillId="8" borderId="30" xfId="0" applyFont="1" applyFill="1" applyBorder="1" applyAlignment="1" applyProtection="1">
      <alignment horizontal="center" vertical="center"/>
      <protection hidden="1"/>
    </xf>
    <xf numFmtId="0" fontId="94" fillId="8" borderId="0" xfId="0" applyFont="1" applyFill="1" applyAlignment="1" applyProtection="1">
      <alignment horizontal="center" vertical="center"/>
      <protection locked="0"/>
    </xf>
    <xf numFmtId="0" fontId="94" fillId="8" borderId="0" xfId="0" applyFont="1" applyFill="1" applyAlignment="1" applyProtection="1">
      <alignment horizontal="center" vertical="center" wrapText="1"/>
      <protection locked="0"/>
    </xf>
    <xf numFmtId="0" fontId="94" fillId="8" borderId="0" xfId="0" applyFont="1" applyFill="1" applyAlignment="1" applyProtection="1">
      <alignment horizontal="left" vertical="center" wrapText="1"/>
      <protection locked="0"/>
    </xf>
    <xf numFmtId="0" fontId="52" fillId="8" borderId="0" xfId="0" applyFont="1" applyFill="1" applyAlignment="1" applyProtection="1">
      <alignment horizontal="center"/>
      <protection hidden="1"/>
    </xf>
    <xf numFmtId="0" fontId="94" fillId="8" borderId="30" xfId="0" applyFont="1" applyFill="1" applyBorder="1" applyAlignment="1" applyProtection="1">
      <alignment horizontal="center" vertical="center" wrapText="1"/>
      <protection locked="0"/>
    </xf>
    <xf numFmtId="0" fontId="76" fillId="8" borderId="0" xfId="0" applyFont="1" applyFill="1" applyAlignment="1" applyProtection="1">
      <alignment horizontal="center" vertical="center"/>
      <protection hidden="1"/>
    </xf>
    <xf numFmtId="0" fontId="94" fillId="8" borderId="0" xfId="0" applyFont="1" applyFill="1" applyAlignment="1" applyProtection="1">
      <alignment horizontal="center" vertical="center"/>
      <protection hidden="1"/>
    </xf>
    <xf numFmtId="0" fontId="94" fillId="8" borderId="0" xfId="0" applyFont="1" applyFill="1" applyAlignment="1" applyProtection="1">
      <alignment horizontal="center" vertical="center" wrapText="1"/>
      <protection hidden="1"/>
    </xf>
    <xf numFmtId="165" fontId="94" fillId="8" borderId="3" xfId="0" applyNumberFormat="1" applyFont="1" applyFill="1" applyBorder="1" applyAlignment="1" applyProtection="1">
      <alignment horizontal="left"/>
      <protection hidden="1"/>
    </xf>
    <xf numFmtId="0" fontId="94" fillId="8" borderId="3" xfId="0" applyFont="1" applyFill="1" applyBorder="1" applyProtection="1">
      <protection hidden="1"/>
    </xf>
    <xf numFmtId="0" fontId="94" fillId="5" borderId="3" xfId="0" applyFont="1" applyFill="1" applyBorder="1" applyProtection="1">
      <protection locked="0"/>
    </xf>
    <xf numFmtId="0" fontId="94" fillId="8" borderId="30" xfId="0" applyFont="1" applyFill="1" applyBorder="1" applyProtection="1">
      <protection hidden="1"/>
    </xf>
    <xf numFmtId="0" fontId="94" fillId="8" borderId="30" xfId="0" applyFont="1" applyFill="1" applyBorder="1" applyAlignment="1" applyProtection="1">
      <alignment horizontal="left"/>
      <protection hidden="1"/>
    </xf>
    <xf numFmtId="49" fontId="52" fillId="5" borderId="30" xfId="0" applyNumberFormat="1" applyFont="1" applyFill="1" applyBorder="1" applyProtection="1">
      <protection locked="0"/>
    </xf>
    <xf numFmtId="0" fontId="52" fillId="5" borderId="30" xfId="0" applyFont="1" applyFill="1" applyBorder="1" applyProtection="1">
      <protection locked="0"/>
    </xf>
    <xf numFmtId="49" fontId="52" fillId="5" borderId="3" xfId="0" applyNumberFormat="1" applyFont="1" applyFill="1" applyBorder="1" applyProtection="1">
      <protection locked="0"/>
    </xf>
    <xf numFmtId="14" fontId="52" fillId="5" borderId="3" xfId="0" applyNumberFormat="1" applyFont="1" applyFill="1" applyBorder="1" applyProtection="1">
      <protection locked="0"/>
    </xf>
    <xf numFmtId="0" fontId="62" fillId="8" borderId="0" xfId="0" applyFont="1" applyFill="1" applyAlignment="1" applyProtection="1">
      <alignment horizontal="center" vertical="center"/>
      <protection hidden="1"/>
    </xf>
    <xf numFmtId="0" fontId="94" fillId="5" borderId="22" xfId="0" applyFont="1" applyFill="1" applyBorder="1" applyAlignment="1" applyProtection="1">
      <alignment horizontal="center" vertical="center" wrapText="1"/>
      <protection locked="0"/>
    </xf>
    <xf numFmtId="0" fontId="94" fillId="5" borderId="30" xfId="0" applyFont="1" applyFill="1" applyBorder="1" applyAlignment="1" applyProtection="1">
      <alignment horizontal="center" vertical="center" wrapText="1"/>
      <protection locked="0"/>
    </xf>
    <xf numFmtId="0" fontId="94" fillId="5" borderId="24" xfId="0" applyFont="1" applyFill="1" applyBorder="1" applyAlignment="1" applyProtection="1">
      <alignment horizontal="center" vertical="center" wrapText="1"/>
      <protection locked="0"/>
    </xf>
    <xf numFmtId="0" fontId="70" fillId="8" borderId="0" xfId="0" applyFont="1" applyFill="1" applyAlignment="1" applyProtection="1">
      <alignment horizontal="center"/>
      <protection hidden="1"/>
    </xf>
    <xf numFmtId="0" fontId="94" fillId="8" borderId="3" xfId="0" applyFont="1" applyFill="1" applyBorder="1" applyAlignment="1" applyProtection="1">
      <alignment horizontal="center" vertical="center"/>
      <protection locked="0"/>
    </xf>
    <xf numFmtId="0" fontId="96" fillId="8" borderId="0" xfId="0" applyFont="1" applyFill="1" applyAlignment="1" applyProtection="1">
      <alignment horizontal="center" vertical="center"/>
      <protection hidden="1"/>
    </xf>
    <xf numFmtId="0" fontId="52" fillId="8" borderId="0" xfId="0" applyFont="1" applyFill="1" applyAlignment="1" applyProtection="1">
      <alignment horizontal="center"/>
      <protection locked="0"/>
    </xf>
    <xf numFmtId="0" fontId="70" fillId="8" borderId="0" xfId="0" applyFont="1" applyFill="1" applyAlignment="1" applyProtection="1">
      <alignment horizontal="center" vertical="center"/>
      <protection hidden="1"/>
    </xf>
    <xf numFmtId="0" fontId="47" fillId="3" borderId="11" xfId="0" applyFont="1" applyFill="1" applyBorder="1" applyAlignment="1">
      <alignment horizontal="center" vertical="center" wrapText="1"/>
    </xf>
    <xf numFmtId="0" fontId="47" fillId="3" borderId="13" xfId="0" applyFont="1" applyFill="1" applyBorder="1" applyAlignment="1">
      <alignment horizontal="center" vertical="center" wrapText="1"/>
    </xf>
    <xf numFmtId="0" fontId="47" fillId="37" borderId="0" xfId="0" applyFont="1" applyFill="1" applyAlignment="1">
      <alignment horizontal="center"/>
    </xf>
    <xf numFmtId="0" fontId="47" fillId="37" borderId="9" xfId="0" applyFont="1" applyFill="1" applyBorder="1" applyAlignment="1">
      <alignment horizontal="center"/>
    </xf>
    <xf numFmtId="0" fontId="47" fillId="3" borderId="11" xfId="0" applyFont="1" applyFill="1" applyBorder="1" applyAlignment="1">
      <alignment horizontal="center"/>
    </xf>
    <xf numFmtId="0" fontId="47" fillId="3" borderId="13" xfId="0" applyFont="1" applyFill="1" applyBorder="1" applyAlignment="1">
      <alignment horizontal="center"/>
    </xf>
    <xf numFmtId="0" fontId="182" fillId="38" borderId="1" xfId="145" applyFont="1" applyFill="1" applyBorder="1" applyAlignment="1">
      <alignment horizontal="center" vertical="center" wrapText="1"/>
    </xf>
    <xf numFmtId="0" fontId="182" fillId="39" borderId="22" xfId="145" applyFont="1" applyFill="1" applyBorder="1" applyAlignment="1">
      <alignment horizontal="center" vertical="center" wrapText="1"/>
    </xf>
    <xf numFmtId="0" fontId="182" fillId="39" borderId="30" xfId="145" applyFont="1" applyFill="1" applyBorder="1" applyAlignment="1">
      <alignment horizontal="center" vertical="center" wrapText="1"/>
    </xf>
    <xf numFmtId="0" fontId="0" fillId="0" borderId="22" xfId="0" applyBorder="1" applyAlignment="1">
      <alignment horizontal="right"/>
    </xf>
    <xf numFmtId="0" fontId="0" fillId="0" borderId="24" xfId="0" applyBorder="1" applyAlignment="1">
      <alignment horizontal="right"/>
    </xf>
    <xf numFmtId="0" fontId="0" fillId="0" borderId="22" xfId="0" applyBorder="1" applyAlignment="1">
      <alignment horizontal="center"/>
    </xf>
    <xf numFmtId="0" fontId="0" fillId="0" borderId="24" xfId="0" applyBorder="1" applyAlignment="1">
      <alignment horizontal="center"/>
    </xf>
    <xf numFmtId="0" fontId="176" fillId="3" borderId="54" xfId="0" applyFont="1" applyFill="1" applyBorder="1" applyAlignment="1">
      <alignment horizontal="center"/>
    </xf>
    <xf numFmtId="0" fontId="176" fillId="3" borderId="55" xfId="0" applyFont="1" applyFill="1" applyBorder="1" applyAlignment="1">
      <alignment horizontal="center"/>
    </xf>
    <xf numFmtId="0" fontId="176" fillId="3" borderId="56" xfId="0" applyFont="1" applyFill="1" applyBorder="1" applyAlignment="1">
      <alignment horizontal="center"/>
    </xf>
    <xf numFmtId="0" fontId="47" fillId="3" borderId="54" xfId="0" applyFont="1" applyFill="1" applyBorder="1" applyAlignment="1">
      <alignment horizontal="center"/>
    </xf>
    <xf numFmtId="0" fontId="47" fillId="3" borderId="55" xfId="0" applyFont="1" applyFill="1" applyBorder="1" applyAlignment="1">
      <alignment horizontal="center"/>
    </xf>
    <xf numFmtId="0" fontId="47" fillId="3" borderId="56" xfId="0" applyFont="1" applyFill="1" applyBorder="1" applyAlignment="1">
      <alignment horizontal="center"/>
    </xf>
    <xf numFmtId="0" fontId="182" fillId="38" borderId="22" xfId="145" applyFont="1" applyFill="1" applyBorder="1" applyAlignment="1">
      <alignment horizontal="center" vertical="center" wrapText="1"/>
    </xf>
    <xf numFmtId="0" fontId="182" fillId="38" borderId="30" xfId="145" applyFont="1" applyFill="1" applyBorder="1" applyAlignment="1">
      <alignment horizontal="center" vertical="center" wrapText="1"/>
    </xf>
    <xf numFmtId="0" fontId="182" fillId="38" borderId="24" xfId="145" applyFont="1" applyFill="1" applyBorder="1" applyAlignment="1">
      <alignment horizontal="center" vertical="center" wrapText="1"/>
    </xf>
    <xf numFmtId="0" fontId="181" fillId="0" borderId="99" xfId="145" applyFont="1" applyBorder="1" applyAlignment="1">
      <alignment horizontal="center" vertical="center" wrapText="1"/>
    </xf>
    <xf numFmtId="0" fontId="181" fillId="0" borderId="12" xfId="145" applyFont="1" applyBorder="1" applyAlignment="1">
      <alignment horizontal="center" vertical="center" wrapText="1"/>
    </xf>
    <xf numFmtId="0" fontId="181" fillId="0" borderId="13" xfId="145" applyFont="1" applyBorder="1" applyAlignment="1">
      <alignment horizontal="center" vertical="center" wrapText="1"/>
    </xf>
    <xf numFmtId="0" fontId="181" fillId="0" borderId="22" xfId="145" applyFont="1" applyBorder="1" applyAlignment="1">
      <alignment vertical="center" wrapText="1"/>
    </xf>
    <xf numFmtId="0" fontId="181" fillId="0" borderId="24" xfId="145" applyFont="1" applyBorder="1" applyAlignment="1">
      <alignment vertical="center" wrapText="1"/>
    </xf>
    <xf numFmtId="0" fontId="191" fillId="0" borderId="22" xfId="145" applyFont="1" applyBorder="1" applyAlignment="1">
      <alignment vertical="center" wrapText="1"/>
    </xf>
    <xf numFmtId="0" fontId="191" fillId="0" borderId="24" xfId="145" applyFont="1" applyBorder="1" applyAlignment="1">
      <alignment vertical="center" wrapText="1"/>
    </xf>
    <xf numFmtId="0" fontId="181" fillId="0" borderId="22" xfId="145" applyFont="1" applyBorder="1" applyAlignment="1">
      <alignment vertical="center"/>
    </xf>
    <xf numFmtId="0" fontId="181" fillId="0" borderId="24" xfId="145" applyFont="1" applyBorder="1" applyAlignment="1">
      <alignment vertical="center"/>
    </xf>
    <xf numFmtId="0" fontId="45" fillId="3" borderId="4" xfId="142" applyNumberFormat="1" applyFont="1" applyFill="1" applyBorder="1" applyAlignment="1">
      <alignment horizontal="center"/>
    </xf>
    <xf numFmtId="0" fontId="45" fillId="3" borderId="2" xfId="142" applyNumberFormat="1" applyFont="1" applyFill="1" applyBorder="1" applyAlignment="1">
      <alignment horizontal="center"/>
    </xf>
    <xf numFmtId="0" fontId="0" fillId="0" borderId="1" xfId="0" applyBorder="1" applyAlignment="1">
      <alignment horizontal="center"/>
    </xf>
    <xf numFmtId="0" fontId="0" fillId="0" borderId="30" xfId="0" applyBorder="1" applyAlignment="1">
      <alignment horizontal="center"/>
    </xf>
    <xf numFmtId="0" fontId="45" fillId="3" borderId="4" xfId="0" applyFont="1" applyFill="1" applyBorder="1" applyAlignment="1">
      <alignment horizontal="center"/>
    </xf>
    <xf numFmtId="0" fontId="45" fillId="3" borderId="14" xfId="0" applyFont="1" applyFill="1" applyBorder="1" applyAlignment="1">
      <alignment horizontal="center"/>
    </xf>
    <xf numFmtId="0" fontId="45" fillId="3" borderId="0" xfId="0" applyFont="1" applyFill="1" applyAlignment="1">
      <alignment horizontal="center"/>
    </xf>
    <xf numFmtId="0" fontId="47" fillId="3" borderId="11" xfId="0" applyFont="1" applyFill="1" applyBorder="1" applyAlignment="1">
      <alignment horizontal="center" wrapText="1"/>
    </xf>
    <xf numFmtId="0" fontId="47" fillId="3" borderId="13" xfId="0" applyFont="1" applyFill="1" applyBorder="1" applyAlignment="1">
      <alignment horizontal="center" wrapText="1"/>
    </xf>
    <xf numFmtId="0" fontId="181" fillId="0" borderId="99" xfId="145" applyFont="1" applyBorder="1" applyAlignment="1">
      <alignment vertical="center" wrapText="1"/>
    </xf>
    <xf numFmtId="0" fontId="181" fillId="0" borderId="12" xfId="145" applyFont="1" applyBorder="1" applyAlignment="1">
      <alignment vertical="center" wrapText="1"/>
    </xf>
    <xf numFmtId="0" fontId="181" fillId="0" borderId="13" xfId="145" applyFont="1" applyBorder="1" applyAlignment="1">
      <alignment vertical="center" wrapText="1"/>
    </xf>
    <xf numFmtId="0" fontId="181" fillId="0" borderId="30" xfId="145" applyFont="1" applyBorder="1" applyAlignment="1">
      <alignment vertical="center" wrapText="1"/>
    </xf>
    <xf numFmtId="0" fontId="181" fillId="8" borderId="100" xfId="145" applyFont="1" applyFill="1" applyBorder="1" applyAlignment="1">
      <alignment vertical="center" wrapText="1"/>
    </xf>
    <xf numFmtId="0" fontId="181" fillId="8" borderId="101" xfId="145" applyFont="1" applyFill="1" applyBorder="1" applyAlignment="1">
      <alignment vertical="center" wrapText="1"/>
    </xf>
    <xf numFmtId="0" fontId="181" fillId="8" borderId="102" xfId="145" applyFont="1" applyFill="1" applyBorder="1" applyAlignment="1">
      <alignment vertical="center" wrapText="1"/>
    </xf>
    <xf numFmtId="0" fontId="181" fillId="0" borderId="30" xfId="145" applyFont="1" applyBorder="1" applyAlignment="1">
      <alignment vertical="center"/>
    </xf>
    <xf numFmtId="0" fontId="181" fillId="0" borderId="22" xfId="145" applyFont="1" applyBorder="1" applyAlignment="1">
      <alignment horizontal="left" vertical="center" wrapText="1"/>
    </xf>
    <xf numFmtId="0" fontId="181" fillId="0" borderId="30" xfId="145" applyFont="1" applyBorder="1" applyAlignment="1">
      <alignment horizontal="left" vertical="center" wrapText="1"/>
    </xf>
    <xf numFmtId="0" fontId="181" fillId="0" borderId="24" xfId="145" applyFont="1" applyBorder="1" applyAlignment="1">
      <alignment horizontal="left" vertical="center" wrapText="1"/>
    </xf>
    <xf numFmtId="0" fontId="180" fillId="38" borderId="0" xfId="145" applyFont="1" applyFill="1" applyAlignment="1">
      <alignment horizontal="center" vertical="center" wrapText="1"/>
    </xf>
    <xf numFmtId="0" fontId="81" fillId="0" borderId="100" xfId="145" applyFont="1" applyBorder="1" applyAlignment="1">
      <alignment horizontal="left"/>
    </xf>
    <xf numFmtId="0" fontId="81" fillId="0" borderId="101" xfId="145" applyFont="1" applyBorder="1" applyAlignment="1">
      <alignment horizontal="left"/>
    </xf>
    <xf numFmtId="0" fontId="181" fillId="0" borderId="99" xfId="145" applyFont="1" applyBorder="1" applyAlignment="1">
      <alignment horizontal="left" vertical="center" wrapText="1"/>
    </xf>
    <xf numFmtId="0" fontId="181" fillId="0" borderId="12" xfId="145" applyFont="1" applyBorder="1" applyAlignment="1">
      <alignment horizontal="left" vertical="center" wrapText="1"/>
    </xf>
    <xf numFmtId="0" fontId="181" fillId="0" borderId="13" xfId="145" applyFont="1" applyBorder="1" applyAlignment="1">
      <alignment horizontal="left" vertical="center" wrapText="1"/>
    </xf>
    <xf numFmtId="0" fontId="81" fillId="0" borderId="5" xfId="145" applyFont="1" applyBorder="1" applyAlignment="1">
      <alignment horizontal="left"/>
    </xf>
    <xf numFmtId="0" fontId="81" fillId="0" borderId="0" xfId="145" applyFont="1" applyAlignment="1">
      <alignment horizontal="left"/>
    </xf>
    <xf numFmtId="0" fontId="181" fillId="0" borderId="5" xfId="145" applyFont="1" applyBorder="1" applyAlignment="1">
      <alignment vertical="center" wrapText="1"/>
    </xf>
    <xf numFmtId="0" fontId="181" fillId="0" borderId="0" xfId="145" applyFont="1" applyAlignment="1">
      <alignment vertical="center" wrapText="1"/>
    </xf>
    <xf numFmtId="0" fontId="181" fillId="0" borderId="6" xfId="145" applyFont="1" applyBorder="1" applyAlignment="1">
      <alignment vertical="center" wrapText="1"/>
    </xf>
    <xf numFmtId="0" fontId="181" fillId="0" borderId="3" xfId="145" applyFont="1" applyBorder="1" applyAlignment="1">
      <alignment vertical="center" wrapText="1"/>
    </xf>
    <xf numFmtId="0" fontId="182" fillId="38" borderId="1" xfId="147" applyFont="1" applyFill="1" applyBorder="1" applyAlignment="1">
      <alignment horizontal="center" vertical="center" wrapText="1"/>
    </xf>
    <xf numFmtId="0" fontId="180" fillId="38" borderId="99" xfId="145" applyFont="1" applyFill="1" applyBorder="1" applyAlignment="1">
      <alignment horizontal="center" vertical="center" wrapText="1"/>
    </xf>
    <xf numFmtId="0" fontId="180" fillId="38" borderId="12" xfId="145" applyFont="1" applyFill="1" applyBorder="1" applyAlignment="1">
      <alignment horizontal="center" vertical="center" wrapText="1"/>
    </xf>
    <xf numFmtId="0" fontId="180" fillId="38" borderId="13" xfId="145" applyFont="1" applyFill="1" applyBorder="1" applyAlignment="1">
      <alignment horizontal="center" vertical="center" wrapText="1"/>
    </xf>
    <xf numFmtId="0" fontId="180" fillId="38" borderId="22" xfId="145" applyFont="1" applyFill="1" applyBorder="1" applyAlignment="1">
      <alignment horizontal="center" vertical="center" wrapText="1"/>
    </xf>
    <xf numFmtId="0" fontId="180" fillId="38" borderId="30" xfId="145" applyFont="1" applyFill="1" applyBorder="1" applyAlignment="1">
      <alignment horizontal="center" vertical="center" wrapText="1"/>
    </xf>
    <xf numFmtId="0" fontId="180" fillId="38" borderId="24" xfId="145" applyFont="1" applyFill="1" applyBorder="1" applyAlignment="1">
      <alignment horizontal="center" vertical="center" wrapText="1"/>
    </xf>
    <xf numFmtId="0" fontId="180" fillId="38" borderId="1" xfId="145" applyFont="1" applyFill="1" applyBorder="1" applyAlignment="1">
      <alignment horizontal="center" vertical="center" wrapText="1"/>
    </xf>
    <xf numFmtId="0" fontId="180" fillId="38" borderId="1" xfId="145" applyFont="1" applyFill="1" applyBorder="1" applyAlignment="1">
      <alignment horizontal="center"/>
    </xf>
    <xf numFmtId="0" fontId="182" fillId="39" borderId="24" xfId="145" applyFont="1" applyFill="1" applyBorder="1" applyAlignment="1">
      <alignment horizontal="center" vertical="center" wrapText="1"/>
    </xf>
    <xf numFmtId="0" fontId="181" fillId="0" borderId="100" xfId="145" applyFont="1" applyBorder="1" applyAlignment="1">
      <alignment vertical="center" wrapText="1"/>
    </xf>
    <xf numFmtId="0" fontId="181" fillId="0" borderId="101" xfId="145" applyFont="1" applyBorder="1" applyAlignment="1">
      <alignment vertical="center" wrapText="1"/>
    </xf>
    <xf numFmtId="0" fontId="181" fillId="0" borderId="102" xfId="145" applyFont="1" applyBorder="1" applyAlignment="1">
      <alignment vertical="center" wrapText="1"/>
    </xf>
    <xf numFmtId="0" fontId="0" fillId="0" borderId="0" xfId="0" applyAlignment="1">
      <alignment horizontal="center"/>
    </xf>
    <xf numFmtId="0" fontId="0" fillId="0" borderId="38" xfId="0" applyBorder="1" applyAlignment="1" applyProtection="1">
      <alignment horizontal="left" wrapText="1"/>
      <protection hidden="1"/>
    </xf>
    <xf numFmtId="0" fontId="0" fillId="0" borderId="30" xfId="0" applyBorder="1" applyAlignment="1" applyProtection="1">
      <alignment horizontal="left" wrapText="1"/>
      <protection hidden="1"/>
    </xf>
    <xf numFmtId="0" fontId="0" fillId="0" borderId="39" xfId="0" applyBorder="1" applyAlignment="1" applyProtection="1">
      <alignment horizontal="left" wrapText="1"/>
      <protection hidden="1"/>
    </xf>
    <xf numFmtId="49" fontId="107" fillId="3" borderId="54" xfId="0" applyNumberFormat="1" applyFont="1" applyFill="1" applyBorder="1" applyAlignment="1" applyProtection="1">
      <alignment horizontal="center" vertical="center"/>
      <protection hidden="1"/>
    </xf>
    <xf numFmtId="49" fontId="107" fillId="3" borderId="55" xfId="0" applyNumberFormat="1" applyFont="1" applyFill="1" applyBorder="1" applyAlignment="1" applyProtection="1">
      <alignment horizontal="center" vertical="center"/>
      <protection hidden="1"/>
    </xf>
    <xf numFmtId="49" fontId="107" fillId="3" borderId="56" xfId="0" applyNumberFormat="1" applyFont="1" applyFill="1" applyBorder="1" applyAlignment="1" applyProtection="1">
      <alignment horizontal="center" vertical="center"/>
      <protection hidden="1"/>
    </xf>
    <xf numFmtId="0" fontId="59" fillId="3" borderId="31" xfId="0" applyFont="1" applyFill="1" applyBorder="1" applyAlignment="1" applyProtection="1">
      <alignment horizontal="center" vertical="center" wrapText="1"/>
      <protection hidden="1"/>
    </xf>
    <xf numFmtId="0" fontId="59" fillId="3" borderId="40" xfId="0" applyFont="1" applyFill="1" applyBorder="1" applyAlignment="1" applyProtection="1">
      <alignment horizontal="center" vertical="center" wrapText="1"/>
      <protection hidden="1"/>
    </xf>
    <xf numFmtId="0" fontId="59" fillId="3" borderId="32" xfId="0" applyFont="1" applyFill="1" applyBorder="1" applyAlignment="1" applyProtection="1">
      <alignment horizontal="center" vertical="center" wrapText="1"/>
      <protection hidden="1"/>
    </xf>
    <xf numFmtId="0" fontId="59" fillId="3" borderId="51" xfId="0" applyFont="1" applyFill="1" applyBorder="1" applyAlignment="1" applyProtection="1">
      <alignment horizontal="center" vertical="center" wrapText="1"/>
      <protection hidden="1"/>
    </xf>
    <xf numFmtId="0" fontId="59" fillId="3" borderId="36" xfId="0" applyFont="1" applyFill="1" applyBorder="1" applyAlignment="1" applyProtection="1">
      <alignment horizontal="center" vertical="center" wrapText="1"/>
      <protection hidden="1"/>
    </xf>
    <xf numFmtId="0" fontId="59" fillId="3" borderId="26" xfId="0" applyFont="1" applyFill="1" applyBorder="1" applyAlignment="1" applyProtection="1">
      <alignment horizontal="center" vertical="center" wrapText="1"/>
      <protection hidden="1"/>
    </xf>
    <xf numFmtId="0" fontId="59" fillId="3" borderId="27" xfId="0" applyFont="1" applyFill="1" applyBorder="1" applyAlignment="1" applyProtection="1">
      <alignment horizontal="center" vertical="center" wrapText="1"/>
      <protection hidden="1"/>
    </xf>
    <xf numFmtId="167" fontId="60" fillId="0" borderId="0" xfId="58" applyNumberFormat="1" applyFont="1" applyBorder="1" applyAlignment="1" applyProtection="1">
      <alignment horizontal="center" vertical="center"/>
      <protection hidden="1"/>
    </xf>
    <xf numFmtId="0" fontId="59" fillId="3" borderId="28" xfId="0" applyFont="1" applyFill="1" applyBorder="1" applyAlignment="1" applyProtection="1">
      <alignment horizontal="center" vertical="center" wrapText="1"/>
      <protection hidden="1"/>
    </xf>
    <xf numFmtId="0" fontId="59" fillId="3" borderId="29" xfId="0" applyFont="1" applyFill="1" applyBorder="1" applyAlignment="1" applyProtection="1">
      <alignment horizontal="center" vertical="center" wrapText="1"/>
      <protection hidden="1"/>
    </xf>
    <xf numFmtId="0" fontId="0" fillId="0" borderId="21" xfId="0" applyBorder="1" applyAlignment="1" applyProtection="1">
      <alignment horizontal="left"/>
      <protection hidden="1"/>
    </xf>
    <xf numFmtId="0" fontId="0" fillId="0" borderId="18" xfId="0" applyBorder="1" applyAlignment="1" applyProtection="1">
      <alignment horizontal="left"/>
      <protection hidden="1"/>
    </xf>
    <xf numFmtId="0" fontId="0" fillId="0" borderId="19" xfId="0" applyBorder="1" applyAlignment="1" applyProtection="1">
      <alignment horizontal="left"/>
      <protection hidden="1"/>
    </xf>
    <xf numFmtId="0" fontId="0" fillId="0" borderId="0" xfId="0" applyAlignment="1" applyProtection="1">
      <alignment wrapText="1"/>
      <protection hidden="1"/>
    </xf>
    <xf numFmtId="0" fontId="0" fillId="0" borderId="23" xfId="0" applyBorder="1" applyProtection="1">
      <protection hidden="1"/>
    </xf>
    <xf numFmtId="0" fontId="0" fillId="0" borderId="1" xfId="0" applyBorder="1" applyProtection="1">
      <protection hidden="1"/>
    </xf>
    <xf numFmtId="0" fontId="0" fillId="0" borderId="17" xfId="0" applyBorder="1" applyProtection="1">
      <protection hidden="1"/>
    </xf>
    <xf numFmtId="0" fontId="59" fillId="3" borderId="11" xfId="0" applyFont="1" applyFill="1" applyBorder="1" applyAlignment="1" applyProtection="1">
      <alignment horizontal="center" vertical="center" wrapText="1"/>
      <protection hidden="1"/>
    </xf>
    <xf numFmtId="0" fontId="59" fillId="3" borderId="13" xfId="0" applyFont="1" applyFill="1" applyBorder="1" applyAlignment="1" applyProtection="1">
      <alignment horizontal="center" vertical="center" wrapText="1"/>
      <protection hidden="1"/>
    </xf>
    <xf numFmtId="0" fontId="0" fillId="0" borderId="41" xfId="0" applyBorder="1" applyAlignment="1" applyProtection="1">
      <alignment wrapText="1"/>
      <protection hidden="1"/>
    </xf>
    <xf numFmtId="0" fontId="0" fillId="0" borderId="25" xfId="0" applyBorder="1" applyAlignment="1" applyProtection="1">
      <alignment wrapText="1"/>
      <protection hidden="1"/>
    </xf>
    <xf numFmtId="0" fontId="0" fillId="0" borderId="42" xfId="0" applyBorder="1" applyAlignment="1" applyProtection="1">
      <alignment wrapText="1"/>
      <protection hidden="1"/>
    </xf>
    <xf numFmtId="0" fontId="59" fillId="3" borderId="20" xfId="0" applyFont="1" applyFill="1" applyBorder="1" applyAlignment="1" applyProtection="1">
      <alignment horizontal="center" vertical="center" wrapText="1"/>
      <protection hidden="1"/>
    </xf>
    <xf numFmtId="0" fontId="59" fillId="3" borderId="15" xfId="0" applyFont="1" applyFill="1" applyBorder="1" applyAlignment="1" applyProtection="1">
      <alignment horizontal="center" vertical="center" wrapText="1"/>
      <protection hidden="1"/>
    </xf>
    <xf numFmtId="0" fontId="59" fillId="3" borderId="16" xfId="0" applyFont="1" applyFill="1" applyBorder="1" applyAlignment="1" applyProtection="1">
      <alignment horizontal="center" vertical="center" wrapText="1"/>
      <protection hidden="1"/>
    </xf>
    <xf numFmtId="0" fontId="59" fillId="3" borderId="23" xfId="0" applyFont="1" applyFill="1" applyBorder="1" applyAlignment="1" applyProtection="1">
      <alignment horizontal="center" vertical="center" wrapText="1"/>
      <protection hidden="1"/>
    </xf>
    <xf numFmtId="0" fontId="59" fillId="3" borderId="1" xfId="0" applyFont="1" applyFill="1" applyBorder="1" applyAlignment="1" applyProtection="1">
      <alignment horizontal="center" vertical="center" wrapText="1"/>
      <protection hidden="1"/>
    </xf>
    <xf numFmtId="0" fontId="59" fillId="3" borderId="17" xfId="0" applyFont="1" applyFill="1" applyBorder="1" applyAlignment="1" applyProtection="1">
      <alignment horizontal="center" vertical="center" wrapText="1"/>
      <protection hidden="1"/>
    </xf>
    <xf numFmtId="0" fontId="59" fillId="3" borderId="60" xfId="0" applyFont="1" applyFill="1" applyBorder="1" applyAlignment="1" applyProtection="1">
      <alignment horizontal="center" vertical="center" wrapText="1"/>
      <protection hidden="1"/>
    </xf>
    <xf numFmtId="0" fontId="0" fillId="0" borderId="38" xfId="0" applyBorder="1" applyProtection="1">
      <protection hidden="1"/>
    </xf>
    <xf numFmtId="0" fontId="0" fillId="0" borderId="30" xfId="0" applyBorder="1" applyProtection="1">
      <protection hidden="1"/>
    </xf>
    <xf numFmtId="0" fontId="0" fillId="0" borderId="39" xfId="0" applyBorder="1" applyProtection="1">
      <protection hidden="1"/>
    </xf>
    <xf numFmtId="0" fontId="0" fillId="0" borderId="51" xfId="0" applyBorder="1" applyProtection="1">
      <protection hidden="1"/>
    </xf>
    <xf numFmtId="0" fontId="0" fillId="0" borderId="2" xfId="0" applyBorder="1" applyProtection="1">
      <protection hidden="1"/>
    </xf>
    <xf numFmtId="0" fontId="0" fillId="0" borderId="52" xfId="0" applyBorder="1" applyProtection="1">
      <protection hidden="1"/>
    </xf>
    <xf numFmtId="0" fontId="0" fillId="0" borderId="38" xfId="0" applyBorder="1" applyAlignment="1" applyProtection="1">
      <alignment horizontal="left"/>
      <protection hidden="1"/>
    </xf>
    <xf numFmtId="0" fontId="0" fillId="0" borderId="30" xfId="0" applyBorder="1" applyAlignment="1" applyProtection="1">
      <alignment horizontal="left"/>
      <protection hidden="1"/>
    </xf>
    <xf numFmtId="0" fontId="0" fillId="0" borderId="39" xfId="0" applyBorder="1" applyAlignment="1" applyProtection="1">
      <alignment horizontal="left"/>
      <protection hidden="1"/>
    </xf>
    <xf numFmtId="0" fontId="59" fillId="3" borderId="24" xfId="0" applyFont="1" applyFill="1" applyBorder="1" applyAlignment="1" applyProtection="1">
      <alignment horizontal="center" vertical="center" wrapText="1"/>
      <protection hidden="1"/>
    </xf>
    <xf numFmtId="0" fontId="0" fillId="0" borderId="41" xfId="0" applyBorder="1" applyAlignment="1" applyProtection="1">
      <alignment horizontal="left" wrapText="1"/>
      <protection hidden="1"/>
    </xf>
    <xf numFmtId="0" fontId="0" fillId="0" borderId="25" xfId="0" applyBorder="1" applyAlignment="1" applyProtection="1">
      <alignment horizontal="left" wrapText="1"/>
      <protection hidden="1"/>
    </xf>
    <xf numFmtId="0" fontId="0" fillId="0" borderId="42" xfId="0" applyBorder="1" applyAlignment="1" applyProtection="1">
      <alignment horizontal="left" wrapText="1"/>
      <protection hidden="1"/>
    </xf>
    <xf numFmtId="0" fontId="59" fillId="3" borderId="33" xfId="0" applyFont="1" applyFill="1" applyBorder="1" applyAlignment="1" applyProtection="1">
      <alignment horizontal="center" vertical="center" wrapText="1"/>
      <protection hidden="1"/>
    </xf>
    <xf numFmtId="0" fontId="59" fillId="3" borderId="34" xfId="0" applyFont="1" applyFill="1" applyBorder="1" applyAlignment="1" applyProtection="1">
      <alignment horizontal="center" vertical="center" wrapText="1"/>
      <protection hidden="1"/>
    </xf>
    <xf numFmtId="0" fontId="59" fillId="3" borderId="35" xfId="0" applyFont="1" applyFill="1" applyBorder="1" applyAlignment="1" applyProtection="1">
      <alignment horizontal="center" vertical="center" wrapText="1"/>
      <protection hidden="1"/>
    </xf>
    <xf numFmtId="0" fontId="59" fillId="3" borderId="7" xfId="0" applyFont="1" applyFill="1" applyBorder="1" applyAlignment="1" applyProtection="1">
      <alignment horizontal="center" vertical="center" wrapText="1"/>
      <protection hidden="1"/>
    </xf>
    <xf numFmtId="0" fontId="59" fillId="3" borderId="0" xfId="0" applyFont="1" applyFill="1" applyAlignment="1" applyProtection="1">
      <alignment horizontal="center" vertical="center" wrapText="1"/>
      <protection hidden="1"/>
    </xf>
    <xf numFmtId="0" fontId="59" fillId="3" borderId="8" xfId="0" applyFont="1" applyFill="1" applyBorder="1" applyAlignment="1" applyProtection="1">
      <alignment horizontal="center" vertical="center" wrapText="1"/>
      <protection hidden="1"/>
    </xf>
    <xf numFmtId="0" fontId="59" fillId="3" borderId="3" xfId="0" applyFont="1" applyFill="1" applyBorder="1" applyAlignment="1" applyProtection="1">
      <alignment horizontal="center" vertical="center" wrapText="1"/>
      <protection hidden="1"/>
    </xf>
    <xf numFmtId="0" fontId="59" fillId="3" borderId="37" xfId="0" applyFont="1" applyFill="1" applyBorder="1" applyAlignment="1" applyProtection="1">
      <alignment horizontal="center" vertical="center" wrapText="1"/>
      <protection hidden="1"/>
    </xf>
    <xf numFmtId="0" fontId="59" fillId="0" borderId="0" xfId="0" applyFont="1" applyAlignment="1" applyProtection="1">
      <alignment horizontal="center" vertical="center" wrapText="1"/>
      <protection hidden="1"/>
    </xf>
    <xf numFmtId="166" fontId="44" fillId="0" borderId="61" xfId="58" applyNumberFormat="1" applyFont="1" applyFill="1" applyBorder="1" applyAlignment="1" applyProtection="1">
      <alignment horizontal="center"/>
      <protection locked="0"/>
    </xf>
    <xf numFmtId="0" fontId="44" fillId="0" borderId="61" xfId="126" applyNumberFormat="1" applyBorder="1" applyAlignment="1" applyProtection="1">
      <alignment horizontal="center"/>
      <protection locked="0"/>
    </xf>
    <xf numFmtId="0" fontId="45" fillId="0" borderId="61" xfId="0" applyFont="1" applyBorder="1" applyAlignment="1" applyProtection="1">
      <alignment horizontal="center"/>
      <protection hidden="1"/>
    </xf>
    <xf numFmtId="166" fontId="45" fillId="0" borderId="61" xfId="58" applyNumberFormat="1" applyFont="1" applyBorder="1" applyAlignment="1" applyProtection="1">
      <alignment horizontal="center"/>
      <protection hidden="1"/>
    </xf>
    <xf numFmtId="0" fontId="52" fillId="0" borderId="61" xfId="126" applyNumberFormat="1" applyFont="1" applyBorder="1" applyAlignment="1" applyProtection="1">
      <alignment horizontal="center"/>
      <protection locked="0"/>
    </xf>
    <xf numFmtId="0" fontId="0" fillId="0" borderId="5" xfId="0" applyBorder="1" applyAlignment="1" applyProtection="1">
      <alignment horizontal="left" wrapText="1"/>
      <protection hidden="1"/>
    </xf>
    <xf numFmtId="0" fontId="0" fillId="0" borderId="1" xfId="0"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3" xfId="0" applyBorder="1" applyAlignment="1" applyProtection="1">
      <alignment horizontal="center" vertical="center"/>
      <protection hidden="1"/>
    </xf>
    <xf numFmtId="0" fontId="0" fillId="0" borderId="5" xfId="0" applyBorder="1" applyAlignment="1" applyProtection="1">
      <alignment horizontal="center" vertical="center"/>
      <protection hidden="1"/>
    </xf>
    <xf numFmtId="0" fontId="0" fillId="0" borderId="9" xfId="0" applyBorder="1" applyAlignment="1" applyProtection="1">
      <alignment horizontal="center" vertical="center"/>
      <protection hidden="1"/>
    </xf>
    <xf numFmtId="3" fontId="0" fillId="5" borderId="3" xfId="0" applyNumberFormat="1" applyFill="1" applyBorder="1" applyAlignment="1" applyProtection="1">
      <alignment horizontal="center"/>
      <protection locked="0"/>
    </xf>
    <xf numFmtId="0" fontId="0" fillId="5" borderId="3" xfId="0" applyFill="1" applyBorder="1" applyAlignment="1" applyProtection="1">
      <alignment horizontal="center" wrapText="1"/>
      <protection locked="0"/>
    </xf>
    <xf numFmtId="0" fontId="0" fillId="0" borderId="0" xfId="0" applyAlignment="1" applyProtection="1">
      <alignment horizontal="left"/>
      <protection hidden="1"/>
    </xf>
    <xf numFmtId="0" fontId="0" fillId="8" borderId="0" xfId="0" applyFill="1" applyAlignment="1" applyProtection="1">
      <alignment horizontal="center"/>
      <protection hidden="1"/>
    </xf>
    <xf numFmtId="0" fontId="60" fillId="8" borderId="0" xfId="0" applyFont="1" applyFill="1" applyAlignment="1" applyProtection="1">
      <alignment horizontal="center"/>
      <protection hidden="1"/>
    </xf>
    <xf numFmtId="0" fontId="2" fillId="8" borderId="3" xfId="0" applyFont="1" applyFill="1" applyBorder="1" applyProtection="1">
      <protection hidden="1"/>
    </xf>
    <xf numFmtId="0" fontId="0" fillId="5" borderId="3" xfId="0" applyFill="1" applyBorder="1" applyProtection="1">
      <protection locked="0"/>
    </xf>
    <xf numFmtId="0" fontId="18" fillId="0" borderId="0" xfId="0" applyFont="1" applyAlignment="1" applyProtection="1">
      <alignment vertical="center"/>
      <protection hidden="1"/>
    </xf>
    <xf numFmtId="0" fontId="15" fillId="0" borderId="0" xfId="0" applyFont="1" applyProtection="1">
      <protection hidden="1"/>
    </xf>
    <xf numFmtId="0" fontId="106" fillId="0" borderId="0" xfId="0" applyFont="1" applyAlignment="1" applyProtection="1">
      <alignment vertical="center"/>
      <protection hidden="1"/>
    </xf>
    <xf numFmtId="0" fontId="0" fillId="0" borderId="0" xfId="0" applyAlignment="1">
      <alignment horizontal="center" vertical="center"/>
    </xf>
    <xf numFmtId="0" fontId="0" fillId="0" borderId="3" xfId="0" applyBorder="1" applyAlignment="1">
      <alignment horizontal="center" vertical="center"/>
    </xf>
    <xf numFmtId="0" fontId="2" fillId="0" borderId="2" xfId="0" applyFont="1" applyBorder="1" applyAlignment="1" applyProtection="1">
      <alignment horizontal="center"/>
      <protection locked="0"/>
    </xf>
    <xf numFmtId="0" fontId="3" fillId="0" borderId="2" xfId="0" applyFont="1" applyBorder="1" applyAlignment="1">
      <alignment horizontal="right"/>
    </xf>
    <xf numFmtId="0" fontId="0" fillId="8" borderId="0" xfId="0" applyFill="1" applyAlignment="1" applyProtection="1">
      <alignment horizontal="center"/>
      <protection locked="0"/>
    </xf>
    <xf numFmtId="0" fontId="15" fillId="0" borderId="0" xfId="0" applyFont="1" applyAlignment="1" applyProtection="1">
      <alignment vertical="center"/>
      <protection hidden="1"/>
    </xf>
    <xf numFmtId="0" fontId="2" fillId="8" borderId="3" xfId="0" applyFont="1" applyFill="1" applyBorder="1" applyAlignment="1" applyProtection="1">
      <alignment vertical="center"/>
      <protection hidden="1"/>
    </xf>
    <xf numFmtId="0" fontId="2" fillId="5" borderId="0" xfId="0" applyFont="1" applyFill="1" applyAlignment="1" applyProtection="1">
      <alignment horizontal="left" vertical="center" wrapText="1"/>
      <protection hidden="1"/>
    </xf>
    <xf numFmtId="0" fontId="57" fillId="5" borderId="3" xfId="0" applyFont="1" applyFill="1" applyBorder="1" applyAlignment="1" applyProtection="1">
      <alignment horizontal="center" vertical="center"/>
      <protection hidden="1"/>
    </xf>
    <xf numFmtId="3" fontId="0" fillId="0" borderId="0" xfId="0" applyNumberFormat="1" applyAlignment="1" applyProtection="1">
      <alignment horizontal="center"/>
      <protection locked="0"/>
    </xf>
    <xf numFmtId="0" fontId="0" fillId="5" borderId="3" xfId="0" applyFill="1" applyBorder="1" applyAlignment="1" applyProtection="1">
      <alignment horizontal="center"/>
      <protection locked="0" hidden="1"/>
    </xf>
    <xf numFmtId="0" fontId="60" fillId="8" borderId="0" xfId="0" applyFont="1" applyFill="1" applyAlignment="1" applyProtection="1">
      <alignment horizontal="center"/>
      <protection locked="0"/>
    </xf>
    <xf numFmtId="0" fontId="0" fillId="0" borderId="0" xfId="0" applyAlignment="1" applyProtection="1">
      <alignment horizontal="center"/>
      <protection hidden="1"/>
    </xf>
    <xf numFmtId="0" fontId="2" fillId="5" borderId="3" xfId="0" applyFont="1" applyFill="1" applyBorder="1" applyAlignment="1" applyProtection="1">
      <alignment vertical="center"/>
      <protection locked="0"/>
    </xf>
    <xf numFmtId="0" fontId="0" fillId="0" borderId="4" xfId="0" applyBorder="1" applyAlignment="1" applyProtection="1">
      <alignment horizontal="center"/>
      <protection hidden="1"/>
    </xf>
    <xf numFmtId="0" fontId="0" fillId="0" borderId="2" xfId="0" applyBorder="1" applyAlignment="1" applyProtection="1">
      <alignment horizontal="center"/>
      <protection hidden="1"/>
    </xf>
    <xf numFmtId="0" fontId="0" fillId="0" borderId="14" xfId="0" applyBorder="1" applyAlignment="1" applyProtection="1">
      <alignment horizontal="center"/>
      <protection hidden="1"/>
    </xf>
    <xf numFmtId="0" fontId="0" fillId="0" borderId="6" xfId="0" applyBorder="1" applyAlignment="1" applyProtection="1">
      <alignment horizontal="center"/>
      <protection hidden="1"/>
    </xf>
    <xf numFmtId="0" fontId="0" fillId="0" borderId="3" xfId="0" applyBorder="1" applyAlignment="1" applyProtection="1">
      <alignment horizontal="center"/>
      <protection hidden="1"/>
    </xf>
    <xf numFmtId="0" fontId="0" fillId="0" borderId="10" xfId="0" applyBorder="1" applyAlignment="1" applyProtection="1">
      <alignment horizontal="center"/>
      <protection hidden="1"/>
    </xf>
    <xf numFmtId="0" fontId="2" fillId="8" borderId="0" xfId="0" applyFont="1" applyFill="1" applyAlignment="1" applyProtection="1">
      <alignment vertical="center"/>
      <protection hidden="1"/>
    </xf>
    <xf numFmtId="3" fontId="0" fillId="5" borderId="3" xfId="0" applyNumberFormat="1" applyFill="1" applyBorder="1" applyAlignment="1" applyProtection="1">
      <alignment horizontal="center" wrapText="1"/>
      <protection locked="0"/>
    </xf>
    <xf numFmtId="0" fontId="30" fillId="0" borderId="0" xfId="0" applyFont="1" applyAlignment="1" applyProtection="1">
      <alignment horizontal="left" vertical="top" wrapText="1"/>
      <protection hidden="1"/>
    </xf>
    <xf numFmtId="0" fontId="83" fillId="0" borderId="0" xfId="0" applyFont="1" applyAlignment="1" applyProtection="1">
      <alignment horizontal="left" vertical="center"/>
      <protection hidden="1"/>
    </xf>
    <xf numFmtId="44" fontId="52" fillId="5" borderId="3" xfId="0" applyNumberFormat="1" applyFont="1" applyFill="1" applyBorder="1" applyProtection="1">
      <protection locked="0"/>
    </xf>
    <xf numFmtId="0" fontId="83" fillId="0" borderId="45" xfId="0" applyFont="1" applyBorder="1" applyAlignment="1" applyProtection="1">
      <alignment horizontal="left" vertical="center"/>
      <protection hidden="1"/>
    </xf>
    <xf numFmtId="0" fontId="27" fillId="0" borderId="0" xfId="0" applyFont="1" applyAlignment="1" applyProtection="1">
      <alignment horizontal="left" vertical="top" wrapText="1"/>
      <protection hidden="1"/>
    </xf>
    <xf numFmtId="0" fontId="28" fillId="0" borderId="0" xfId="0" applyFont="1" applyAlignment="1" applyProtection="1">
      <alignment horizontal="left" vertical="top" wrapText="1"/>
      <protection hidden="1"/>
    </xf>
    <xf numFmtId="0" fontId="52" fillId="8" borderId="3" xfId="0" applyFont="1" applyFill="1" applyBorder="1" applyAlignment="1" applyProtection="1">
      <alignment horizontal="center"/>
      <protection hidden="1"/>
    </xf>
    <xf numFmtId="0" fontId="89" fillId="0" borderId="0" xfId="0" applyFont="1" applyAlignment="1" applyProtection="1">
      <alignment horizontal="left"/>
      <protection hidden="1"/>
    </xf>
    <xf numFmtId="165" fontId="70" fillId="0" borderId="30" xfId="0" applyNumberFormat="1" applyFont="1" applyBorder="1" applyAlignment="1" applyProtection="1">
      <alignment horizontal="left"/>
      <protection hidden="1"/>
    </xf>
    <xf numFmtId="0" fontId="70" fillId="0" borderId="2" xfId="0" applyFont="1" applyBorder="1" applyAlignment="1" applyProtection="1">
      <alignment horizontal="left"/>
      <protection hidden="1"/>
    </xf>
    <xf numFmtId="44" fontId="52" fillId="5" borderId="3" xfId="58" applyFont="1" applyFill="1" applyBorder="1" applyAlignment="1" applyProtection="1">
      <alignment horizontal="left"/>
      <protection locked="0"/>
    </xf>
    <xf numFmtId="0" fontId="61" fillId="0" borderId="0" xfId="0" applyFont="1" applyAlignment="1" applyProtection="1">
      <alignment horizontal="left" wrapText="1"/>
      <protection hidden="1"/>
    </xf>
    <xf numFmtId="0" fontId="29" fillId="0" borderId="0" xfId="0" applyFont="1" applyAlignment="1" applyProtection="1">
      <alignment horizontal="left" vertical="center"/>
      <protection hidden="1"/>
    </xf>
    <xf numFmtId="0" fontId="100" fillId="0" borderId="0" xfId="0" applyFont="1" applyAlignment="1" applyProtection="1">
      <alignment horizontal="left"/>
      <protection hidden="1"/>
    </xf>
    <xf numFmtId="0" fontId="71" fillId="0" borderId="0" xfId="0" applyFont="1" applyAlignment="1" applyProtection="1">
      <alignment horizontal="left" vertical="center"/>
      <protection hidden="1"/>
    </xf>
    <xf numFmtId="0" fontId="15" fillId="0" borderId="3" xfId="0" applyFont="1" applyBorder="1" applyAlignment="1" applyProtection="1">
      <alignment vertical="center"/>
      <protection hidden="1"/>
    </xf>
    <xf numFmtId="0" fontId="84" fillId="0" borderId="0" xfId="0" applyFont="1" applyAlignment="1" applyProtection="1">
      <alignment horizontal="center" vertical="center" wrapText="1"/>
      <protection hidden="1"/>
    </xf>
    <xf numFmtId="0" fontId="125" fillId="0" borderId="0" xfId="0" applyFont="1" applyAlignment="1" applyProtection="1">
      <alignment horizontal="left" vertical="center" wrapText="1"/>
      <protection hidden="1"/>
    </xf>
    <xf numFmtId="0" fontId="126" fillId="0" borderId="3" xfId="0" applyFont="1" applyBorder="1" applyAlignment="1">
      <alignment horizontal="left" vertical="center" wrapText="1"/>
    </xf>
    <xf numFmtId="0" fontId="126" fillId="0" borderId="30" xfId="0" applyFont="1" applyBorder="1" applyAlignment="1">
      <alignment horizontal="left" vertical="center" wrapText="1"/>
    </xf>
    <xf numFmtId="0" fontId="127" fillId="0" borderId="0" xfId="0" applyFont="1" applyAlignment="1" applyProtection="1">
      <alignment horizontal="left" vertical="center"/>
      <protection hidden="1"/>
    </xf>
    <xf numFmtId="0" fontId="125" fillId="0" borderId="3" xfId="0" applyFont="1" applyBorder="1" applyAlignment="1" applyProtection="1">
      <alignment horizontal="center" vertical="center"/>
      <protection locked="0" hidden="1"/>
    </xf>
    <xf numFmtId="0" fontId="125" fillId="0" borderId="3" xfId="0" applyFont="1" applyBorder="1" applyAlignment="1" applyProtection="1">
      <alignment horizontal="left"/>
      <protection hidden="1"/>
    </xf>
    <xf numFmtId="0" fontId="131" fillId="0" borderId="0" xfId="0" applyFont="1" applyAlignment="1">
      <alignment horizontal="left" wrapText="1"/>
    </xf>
    <xf numFmtId="0" fontId="0" fillId="0" borderId="3" xfId="0" applyBorder="1" applyAlignment="1" applyProtection="1">
      <alignment horizontal="center"/>
      <protection locked="0"/>
    </xf>
    <xf numFmtId="0" fontId="125" fillId="0" borderId="3" xfId="0" applyFont="1" applyBorder="1" applyAlignment="1" applyProtection="1">
      <alignment horizontal="center" vertical="center"/>
      <protection hidden="1"/>
    </xf>
    <xf numFmtId="0" fontId="0" fillId="0" borderId="3" xfId="0" applyBorder="1" applyAlignment="1">
      <alignment horizontal="center"/>
    </xf>
    <xf numFmtId="0" fontId="47" fillId="36" borderId="0" xfId="0" applyFont="1" applyFill="1" applyAlignment="1">
      <alignment horizontal="center"/>
    </xf>
    <xf numFmtId="0" fontId="60" fillId="0" borderId="0" xfId="3" applyFont="1" applyFill="1" applyBorder="1" applyAlignment="1" applyProtection="1">
      <alignment horizontal="center"/>
      <protection locked="0"/>
    </xf>
    <xf numFmtId="0" fontId="78" fillId="0" borderId="0" xfId="0" applyFont="1" applyAlignment="1">
      <alignment horizontal="center"/>
    </xf>
    <xf numFmtId="0" fontId="78" fillId="0" borderId="0" xfId="0" applyFont="1" applyAlignment="1">
      <alignment horizontal="center" wrapText="1"/>
    </xf>
    <xf numFmtId="0" fontId="78" fillId="0" borderId="0" xfId="0" applyFont="1" applyAlignment="1">
      <alignment horizontal="center" vertical="center" wrapText="1"/>
    </xf>
    <xf numFmtId="0" fontId="47" fillId="36" borderId="0" xfId="0" applyFont="1" applyFill="1" applyAlignment="1">
      <alignment horizontal="left"/>
    </xf>
    <xf numFmtId="0" fontId="60" fillId="0" borderId="0" xfId="0" applyFont="1" applyAlignment="1">
      <alignment horizontal="center"/>
    </xf>
    <xf numFmtId="0" fontId="78" fillId="0" borderId="0" xfId="0" applyFont="1" applyAlignment="1">
      <alignment horizontal="center" vertical="center"/>
    </xf>
  </cellXfs>
  <cellStyles count="149">
    <cellStyle name="0,0_x000d__x000a_NA_x000d__x000a_" xfId="1" xr:uid="{00000000-0005-0000-0000-000000000000}"/>
    <cellStyle name="0,0_x000d__x000a_NA_x000d__x000a_ 2" xfId="2" xr:uid="{00000000-0005-0000-0000-000001000000}"/>
    <cellStyle name="Calculation" xfId="3" builtinId="22"/>
    <cellStyle name="Comma" xfId="4" builtinId="3"/>
    <cellStyle name="Comma 10" xfId="5" xr:uid="{00000000-0005-0000-0000-000004000000}"/>
    <cellStyle name="Comma 10 2" xfId="6" xr:uid="{00000000-0005-0000-0000-000005000000}"/>
    <cellStyle name="Comma 10 2 2" xfId="7" xr:uid="{00000000-0005-0000-0000-000006000000}"/>
    <cellStyle name="Comma 10 2 2 2" xfId="8" xr:uid="{00000000-0005-0000-0000-000007000000}"/>
    <cellStyle name="Comma 10 2 3" xfId="9" xr:uid="{00000000-0005-0000-0000-000008000000}"/>
    <cellStyle name="Comma 10 2 3 2" xfId="10" xr:uid="{00000000-0005-0000-0000-000009000000}"/>
    <cellStyle name="Comma 10 2 4" xfId="11" xr:uid="{00000000-0005-0000-0000-00000A000000}"/>
    <cellStyle name="Comma 10 3" xfId="12" xr:uid="{00000000-0005-0000-0000-00000B000000}"/>
    <cellStyle name="Comma 10 3 2" xfId="13" xr:uid="{00000000-0005-0000-0000-00000C000000}"/>
    <cellStyle name="Comma 10 4" xfId="14" xr:uid="{00000000-0005-0000-0000-00000D000000}"/>
    <cellStyle name="Comma 10 4 2" xfId="15" xr:uid="{00000000-0005-0000-0000-00000E000000}"/>
    <cellStyle name="Comma 10 5" xfId="16" xr:uid="{00000000-0005-0000-0000-00000F000000}"/>
    <cellStyle name="Comma 10 5 2" xfId="17" xr:uid="{00000000-0005-0000-0000-000010000000}"/>
    <cellStyle name="Comma 10 6" xfId="18" xr:uid="{00000000-0005-0000-0000-000011000000}"/>
    <cellStyle name="Comma 10 7" xfId="128" xr:uid="{179CD10F-858E-4B06-9EAA-958CBEB1C6D7}"/>
    <cellStyle name="Comma 11" xfId="19" xr:uid="{00000000-0005-0000-0000-000012000000}"/>
    <cellStyle name="Comma 11 2" xfId="20" xr:uid="{00000000-0005-0000-0000-000013000000}"/>
    <cellStyle name="Comma 11 2 2" xfId="21" xr:uid="{00000000-0005-0000-0000-000014000000}"/>
    <cellStyle name="Comma 11 2 2 2" xfId="22" xr:uid="{00000000-0005-0000-0000-000015000000}"/>
    <cellStyle name="Comma 11 2 3" xfId="23" xr:uid="{00000000-0005-0000-0000-000016000000}"/>
    <cellStyle name="Comma 11 2 3 2" xfId="24" xr:uid="{00000000-0005-0000-0000-000017000000}"/>
    <cellStyle name="Comma 11 2 4" xfId="25" xr:uid="{00000000-0005-0000-0000-000018000000}"/>
    <cellStyle name="Comma 11 3" xfId="26" xr:uid="{00000000-0005-0000-0000-000019000000}"/>
    <cellStyle name="Comma 11 3 2" xfId="27" xr:uid="{00000000-0005-0000-0000-00001A000000}"/>
    <cellStyle name="Comma 11 4" xfId="28" xr:uid="{00000000-0005-0000-0000-00001B000000}"/>
    <cellStyle name="Comma 11 4 2" xfId="29" xr:uid="{00000000-0005-0000-0000-00001C000000}"/>
    <cellStyle name="Comma 11 5" xfId="30" xr:uid="{00000000-0005-0000-0000-00001D000000}"/>
    <cellStyle name="Comma 11 5 2" xfId="31" xr:uid="{00000000-0005-0000-0000-00001E000000}"/>
    <cellStyle name="Comma 11 6" xfId="32" xr:uid="{00000000-0005-0000-0000-00001F000000}"/>
    <cellStyle name="Comma 12" xfId="33" xr:uid="{00000000-0005-0000-0000-000020000000}"/>
    <cellStyle name="Comma 12 2" xfId="34" xr:uid="{00000000-0005-0000-0000-000021000000}"/>
    <cellStyle name="Comma 12 2 2" xfId="35" xr:uid="{00000000-0005-0000-0000-000022000000}"/>
    <cellStyle name="Comma 12 2 2 2" xfId="36" xr:uid="{00000000-0005-0000-0000-000023000000}"/>
    <cellStyle name="Comma 12 2 3" xfId="37" xr:uid="{00000000-0005-0000-0000-000024000000}"/>
    <cellStyle name="Comma 12 2 3 2" xfId="38" xr:uid="{00000000-0005-0000-0000-000025000000}"/>
    <cellStyle name="Comma 12 2 4" xfId="39" xr:uid="{00000000-0005-0000-0000-000026000000}"/>
    <cellStyle name="Comma 12 3" xfId="40" xr:uid="{00000000-0005-0000-0000-000027000000}"/>
    <cellStyle name="Comma 12 3 2" xfId="41" xr:uid="{00000000-0005-0000-0000-000028000000}"/>
    <cellStyle name="Comma 12 4" xfId="42" xr:uid="{00000000-0005-0000-0000-000029000000}"/>
    <cellStyle name="Comma 12 4 2" xfId="43" xr:uid="{00000000-0005-0000-0000-00002A000000}"/>
    <cellStyle name="Comma 12 5" xfId="44" xr:uid="{00000000-0005-0000-0000-00002B000000}"/>
    <cellStyle name="Comma 12 5 2" xfId="45" xr:uid="{00000000-0005-0000-0000-00002C000000}"/>
    <cellStyle name="Comma 12 6" xfId="46" xr:uid="{00000000-0005-0000-0000-00002D000000}"/>
    <cellStyle name="Comma 13" xfId="47" xr:uid="{00000000-0005-0000-0000-00002E000000}"/>
    <cellStyle name="Comma 13 2" xfId="48" xr:uid="{00000000-0005-0000-0000-00002F000000}"/>
    <cellStyle name="Comma 2" xfId="49" xr:uid="{00000000-0005-0000-0000-000030000000}"/>
    <cellStyle name="Comma 2 4" xfId="148" xr:uid="{A64357B6-11FD-4EAA-85D4-ADAF71924190}"/>
    <cellStyle name="Comma 3" xfId="50" xr:uid="{00000000-0005-0000-0000-000031000000}"/>
    <cellStyle name="Comma 4" xfId="51" xr:uid="{00000000-0005-0000-0000-000032000000}"/>
    <cellStyle name="Comma 5" xfId="52" xr:uid="{00000000-0005-0000-0000-000033000000}"/>
    <cellStyle name="Comma 6" xfId="53" xr:uid="{00000000-0005-0000-0000-000034000000}"/>
    <cellStyle name="Comma 7" xfId="54" xr:uid="{00000000-0005-0000-0000-000035000000}"/>
    <cellStyle name="Comma 8" xfId="55" xr:uid="{00000000-0005-0000-0000-000036000000}"/>
    <cellStyle name="Comma 9" xfId="56" xr:uid="{00000000-0005-0000-0000-000037000000}"/>
    <cellStyle name="Comma 9 2" xfId="57" xr:uid="{00000000-0005-0000-0000-000038000000}"/>
    <cellStyle name="Currency" xfId="58" builtinId="4"/>
    <cellStyle name="Currency 2" xfId="59" xr:uid="{00000000-0005-0000-0000-00003A000000}"/>
    <cellStyle name="Currency 2 2" xfId="60" xr:uid="{00000000-0005-0000-0000-00003B000000}"/>
    <cellStyle name="Currency 3" xfId="61" xr:uid="{00000000-0005-0000-0000-00003C000000}"/>
    <cellStyle name="Currency 3 2" xfId="62" xr:uid="{00000000-0005-0000-0000-00003D000000}"/>
    <cellStyle name="Currency 3 2 2" xfId="63" xr:uid="{00000000-0005-0000-0000-00003E000000}"/>
    <cellStyle name="Currency 3 2 2 2" xfId="64" xr:uid="{00000000-0005-0000-0000-00003F000000}"/>
    <cellStyle name="Currency 3 2 3" xfId="65" xr:uid="{00000000-0005-0000-0000-000040000000}"/>
    <cellStyle name="Currency 3 2 3 2" xfId="66" xr:uid="{00000000-0005-0000-0000-000041000000}"/>
    <cellStyle name="Currency 3 2 4" xfId="67" xr:uid="{00000000-0005-0000-0000-000042000000}"/>
    <cellStyle name="Currency 3 3" xfId="68" xr:uid="{00000000-0005-0000-0000-000043000000}"/>
    <cellStyle name="Currency 3 3 2" xfId="69" xr:uid="{00000000-0005-0000-0000-000044000000}"/>
    <cellStyle name="Currency 3 4" xfId="70" xr:uid="{00000000-0005-0000-0000-000045000000}"/>
    <cellStyle name="Currency 3 4 2" xfId="71" xr:uid="{00000000-0005-0000-0000-000046000000}"/>
    <cellStyle name="Currency 3 5" xfId="72" xr:uid="{00000000-0005-0000-0000-000047000000}"/>
    <cellStyle name="Currency 3 5 2" xfId="73" xr:uid="{00000000-0005-0000-0000-000048000000}"/>
    <cellStyle name="Currency 3 6" xfId="74" xr:uid="{00000000-0005-0000-0000-000049000000}"/>
    <cellStyle name="Currency 4" xfId="75" xr:uid="{00000000-0005-0000-0000-00004A000000}"/>
    <cellStyle name="Currency 4 2" xfId="76" xr:uid="{00000000-0005-0000-0000-00004B000000}"/>
    <cellStyle name="Currency 4 2 2" xfId="77" xr:uid="{00000000-0005-0000-0000-00004C000000}"/>
    <cellStyle name="Currency 4 2 2 2" xfId="78" xr:uid="{00000000-0005-0000-0000-00004D000000}"/>
    <cellStyle name="Currency 4 2 3" xfId="79" xr:uid="{00000000-0005-0000-0000-00004E000000}"/>
    <cellStyle name="Currency 4 2 3 2" xfId="80" xr:uid="{00000000-0005-0000-0000-00004F000000}"/>
    <cellStyle name="Currency 4 2 4" xfId="81" xr:uid="{00000000-0005-0000-0000-000050000000}"/>
    <cellStyle name="Currency 4 3" xfId="82" xr:uid="{00000000-0005-0000-0000-000051000000}"/>
    <cellStyle name="Currency 4 3 2" xfId="83" xr:uid="{00000000-0005-0000-0000-000052000000}"/>
    <cellStyle name="Currency 4 4" xfId="84" xr:uid="{00000000-0005-0000-0000-000053000000}"/>
    <cellStyle name="Currency 4 4 2" xfId="85" xr:uid="{00000000-0005-0000-0000-000054000000}"/>
    <cellStyle name="Currency 4 5" xfId="86" xr:uid="{00000000-0005-0000-0000-000055000000}"/>
    <cellStyle name="Currency 4 5 2" xfId="87" xr:uid="{00000000-0005-0000-0000-000056000000}"/>
    <cellStyle name="Currency 4 6" xfId="88" xr:uid="{00000000-0005-0000-0000-000057000000}"/>
    <cellStyle name="Currency 5" xfId="89" xr:uid="{00000000-0005-0000-0000-000058000000}"/>
    <cellStyle name="Currency 5 2" xfId="90" xr:uid="{00000000-0005-0000-0000-000059000000}"/>
    <cellStyle name="Currency 5 2 2" xfId="91" xr:uid="{00000000-0005-0000-0000-00005A000000}"/>
    <cellStyle name="Currency 5 2 2 2" xfId="92" xr:uid="{00000000-0005-0000-0000-00005B000000}"/>
    <cellStyle name="Currency 5 2 3" xfId="93" xr:uid="{00000000-0005-0000-0000-00005C000000}"/>
    <cellStyle name="Currency 5 2 3 2" xfId="94" xr:uid="{00000000-0005-0000-0000-00005D000000}"/>
    <cellStyle name="Currency 5 2 4" xfId="95" xr:uid="{00000000-0005-0000-0000-00005E000000}"/>
    <cellStyle name="Currency 5 3" xfId="96" xr:uid="{00000000-0005-0000-0000-00005F000000}"/>
    <cellStyle name="Currency 5 3 2" xfId="97" xr:uid="{00000000-0005-0000-0000-000060000000}"/>
    <cellStyle name="Currency 5 4" xfId="98" xr:uid="{00000000-0005-0000-0000-000061000000}"/>
    <cellStyle name="Currency 5 4 2" xfId="99" xr:uid="{00000000-0005-0000-0000-000062000000}"/>
    <cellStyle name="Currency 5 5" xfId="100" xr:uid="{00000000-0005-0000-0000-000063000000}"/>
    <cellStyle name="Currency 5 5 2" xfId="101" xr:uid="{00000000-0005-0000-0000-000064000000}"/>
    <cellStyle name="Currency 5 6" xfId="102" xr:uid="{00000000-0005-0000-0000-000065000000}"/>
    <cellStyle name="Currency 6" xfId="103" xr:uid="{00000000-0005-0000-0000-000066000000}"/>
    <cellStyle name="Currency 6 2" xfId="104" xr:uid="{00000000-0005-0000-0000-000067000000}"/>
    <cellStyle name="Hyperlink" xfId="105" builtinId="8"/>
    <cellStyle name="Hyperlink 2" xfId="106" xr:uid="{00000000-0005-0000-0000-000069000000}"/>
    <cellStyle name="Hyperlink 3" xfId="107" xr:uid="{00000000-0005-0000-0000-00006A000000}"/>
    <cellStyle name="Normal" xfId="0" builtinId="0"/>
    <cellStyle name="Normal 10" xfId="136" xr:uid="{CAC7640A-4049-45F4-85D7-431CFDA3E0D8}"/>
    <cellStyle name="Normal 10 5" xfId="145" xr:uid="{B1AEEBE1-095F-490E-816C-48781326336F}"/>
    <cellStyle name="Normal 11" xfId="137" xr:uid="{38A8DCC6-2435-4E57-91F2-7CE1B9D0FC0F}"/>
    <cellStyle name="Normal 12" xfId="138" xr:uid="{717214B7-8237-49A3-966D-906B6E652723}"/>
    <cellStyle name="Normal 13" xfId="139" xr:uid="{9B379075-F661-4DFF-BC70-73FF5B1CFF6A}"/>
    <cellStyle name="Normal 14" xfId="140" xr:uid="{5EC37892-6FE7-4931-B34C-61871BEED71C}"/>
    <cellStyle name="Normal 15" xfId="141" xr:uid="{D2562970-EBAE-4D86-9570-08B9B9C9CC51}"/>
    <cellStyle name="Normal 16" xfId="142" xr:uid="{32CCF340-5B2F-4078-AE98-8F7C1AE15B6B}"/>
    <cellStyle name="Normal 17" xfId="133" xr:uid="{B4E6533A-203C-47E1-BE03-E876A158417B}"/>
    <cellStyle name="Normal 18" xfId="143" xr:uid="{B5DFD65C-AF8F-4CAD-BB9D-5C4750FA4D21}"/>
    <cellStyle name="Normal 2" xfId="108" xr:uid="{00000000-0005-0000-0000-00006C000000}"/>
    <cellStyle name="Normal 2 2" xfId="109" xr:uid="{00000000-0005-0000-0000-00006D000000}"/>
    <cellStyle name="Normal 2 2 3" xfId="129" xr:uid="{A23F3FCA-BB52-48A5-93B9-BE15902A04D2}"/>
    <cellStyle name="Normal 2 3" xfId="110" xr:uid="{00000000-0005-0000-0000-00006E000000}"/>
    <cellStyle name="Normal 2 3 3" xfId="130" xr:uid="{29907AF3-D220-4AB9-BC73-DFF1820332F6}"/>
    <cellStyle name="Normal 2 5 3 2" xfId="111" xr:uid="{00000000-0005-0000-0000-00006F000000}"/>
    <cellStyle name="Normal 2 7" xfId="147" xr:uid="{35A487B1-8A9E-4551-B9B6-8AFFB54F46A4}"/>
    <cellStyle name="Normal 2_Wattage Table" xfId="112" xr:uid="{00000000-0005-0000-0000-000070000000}"/>
    <cellStyle name="Normal 3" xfId="113" xr:uid="{00000000-0005-0000-0000-000071000000}"/>
    <cellStyle name="Normal 4" xfId="126" xr:uid="{927C085A-EFDB-42E6-8001-52D0AB61A98C}"/>
    <cellStyle name="Normal 5" xfId="127" xr:uid="{F7BDE7F9-7BBA-41C4-9E7F-D439154DBCED}"/>
    <cellStyle name="Normal 6" xfId="132" xr:uid="{13C8DFA2-E5F6-415B-9988-613461BD0016}"/>
    <cellStyle name="Normal 7" xfId="131" xr:uid="{2EBCDABA-EB6C-4C66-BD43-25D4DE2BFE43}"/>
    <cellStyle name="Normal 8" xfId="134" xr:uid="{358B1D53-CF8E-4E11-917A-4D6DF39B9F13}"/>
    <cellStyle name="Normal 9" xfId="135" xr:uid="{46CDEB1B-7FB3-45D5-A6B4-274F22009579}"/>
    <cellStyle name="Normal_Fin03-ExclProds" xfId="125" xr:uid="{AAC3244E-B80C-4850-A3FE-719984007601}"/>
    <cellStyle name="Normal_Lookup" xfId="144" xr:uid="{47F74140-7D19-45D5-8ACE-8AE15C32B967}"/>
    <cellStyle name="Normal_Sel03-Exclude_Other" xfId="114" xr:uid="{00000000-0005-0000-0000-000072000000}"/>
    <cellStyle name="Percent" xfId="115" builtinId="5"/>
    <cellStyle name="Percent 2" xfId="116" xr:uid="{00000000-0005-0000-0000-000074000000}"/>
    <cellStyle name="Percent 3" xfId="117" xr:uid="{00000000-0005-0000-0000-000075000000}"/>
    <cellStyle name="Percent 4" xfId="118" xr:uid="{00000000-0005-0000-0000-000076000000}"/>
    <cellStyle name="Percent 4 2" xfId="146" xr:uid="{00456A01-6339-4E0F-8466-8AD93655F46D}"/>
    <cellStyle name="Percent 5" xfId="119" xr:uid="{00000000-0005-0000-0000-000077000000}"/>
    <cellStyle name="Percent 6" xfId="120" xr:uid="{00000000-0005-0000-0000-000078000000}"/>
    <cellStyle name="Percent 7" xfId="121" xr:uid="{00000000-0005-0000-0000-000079000000}"/>
    <cellStyle name="Percent 8" xfId="122" xr:uid="{00000000-0005-0000-0000-00007A000000}"/>
    <cellStyle name="Percent 9" xfId="123" xr:uid="{00000000-0005-0000-0000-00007B000000}"/>
    <cellStyle name="Percent 9 2" xfId="124" xr:uid="{00000000-0005-0000-0000-00007C000000}"/>
  </cellStyles>
  <dxfs count="52">
    <dxf>
      <font>
        <color rgb="FF9C0006"/>
      </font>
    </dxf>
    <dxf>
      <font>
        <color theme="6" tint="-0.24994659260841701"/>
      </font>
    </dxf>
    <dxf>
      <font>
        <color rgb="FF9C0006"/>
      </font>
    </dxf>
    <dxf>
      <font>
        <color rgb="FF9C0006"/>
      </font>
    </dxf>
    <dxf>
      <font>
        <color theme="6" tint="-0.24994659260841701"/>
      </font>
    </dxf>
    <dxf>
      <font>
        <color rgb="FF9C0006"/>
      </font>
    </dxf>
    <dxf>
      <font>
        <color rgb="FF9C0006"/>
      </font>
    </dxf>
    <dxf>
      <font>
        <color rgb="FF9C0006"/>
      </font>
    </dxf>
    <dxf>
      <font>
        <color rgb="FF9C0006"/>
      </font>
    </dxf>
    <dxf>
      <font>
        <color theme="6" tint="-0.24994659260841701"/>
      </font>
    </dxf>
    <dxf>
      <font>
        <color rgb="FF9C0006"/>
      </font>
    </dxf>
    <dxf>
      <font>
        <color theme="6" tint="-0.24994659260841701"/>
      </font>
    </dxf>
    <dxf>
      <font>
        <color rgb="FF9C0006"/>
      </font>
    </dxf>
    <dxf>
      <font>
        <color theme="6" tint="-0.24994659260841701"/>
      </font>
    </dxf>
    <dxf>
      <font>
        <color rgb="FF9C0006"/>
      </font>
    </dxf>
    <dxf>
      <font>
        <color rgb="FF9C0006"/>
      </font>
    </dxf>
    <dxf>
      <font>
        <color theme="6" tint="-0.24994659260841701"/>
      </font>
    </dxf>
    <dxf>
      <font>
        <color rgb="FF9C0006"/>
      </font>
    </dxf>
    <dxf>
      <font>
        <color rgb="FF9C0006"/>
      </font>
    </dxf>
    <dxf>
      <fill>
        <patternFill patternType="solid">
          <fgColor theme="0"/>
          <bgColor theme="0" tint="-0.14996795556505021"/>
        </patternFill>
      </fill>
      <border>
        <bottom style="thin">
          <color auto="1"/>
        </bottom>
        <vertical/>
        <horizontal/>
      </border>
    </dxf>
    <dxf>
      <fill>
        <patternFill patternType="solid">
          <fgColor theme="0"/>
          <bgColor theme="0" tint="-0.14996795556505021"/>
        </patternFill>
      </fill>
      <border>
        <bottom style="thin">
          <color auto="1"/>
        </bottom>
        <vertical/>
        <horizontal/>
      </border>
    </dxf>
    <dxf>
      <font>
        <u val="none"/>
        <color auto="1"/>
      </font>
      <border>
        <bottom style="thin">
          <color auto="1"/>
        </bottom>
      </border>
    </dxf>
    <dxf>
      <font>
        <b/>
        <i val="0"/>
        <strike val="0"/>
        <u val="none"/>
        <color auto="1"/>
      </font>
      <border>
        <left/>
        <right/>
        <top/>
        <bottom/>
      </border>
    </dxf>
    <dxf>
      <font>
        <b/>
        <i val="0"/>
        <color auto="1"/>
      </font>
    </dxf>
    <dxf>
      <font>
        <b/>
        <i val="0"/>
        <color auto="1"/>
      </font>
    </dxf>
    <dxf>
      <font>
        <color auto="1"/>
      </font>
      <fill>
        <patternFill>
          <bgColor theme="0" tint="-0.14996795556505021"/>
        </patternFill>
      </fill>
      <border>
        <left style="thin">
          <color auto="1"/>
        </left>
        <right style="thin">
          <color auto="1"/>
        </right>
        <top style="thin">
          <color auto="1"/>
        </top>
        <bottom style="thin">
          <color auto="1"/>
        </bottom>
        <vertical/>
        <horizontal/>
      </border>
    </dxf>
    <dxf>
      <font>
        <b/>
        <i val="0"/>
        <color theme="1"/>
      </font>
      <border>
        <left style="thin">
          <color auto="1"/>
        </left>
        <right style="thin">
          <color auto="1"/>
        </right>
        <top style="thin">
          <color auto="1"/>
        </top>
        <bottom style="thin">
          <color auto="1"/>
        </bottom>
        <vertical/>
        <horizontal/>
      </border>
    </dxf>
    <dxf>
      <font>
        <color auto="1"/>
      </font>
      <border>
        <left style="thin">
          <color indexed="64"/>
        </left>
        <right style="thin">
          <color indexed="64"/>
        </right>
        <top style="thin">
          <color indexed="64"/>
        </top>
        <bottom style="thin">
          <color indexed="64"/>
        </bottom>
      </border>
    </dxf>
    <dxf>
      <fill>
        <patternFill patternType="none">
          <bgColor indexed="65"/>
        </patternFill>
      </fill>
    </dxf>
    <dxf>
      <fill>
        <patternFill>
          <bgColor theme="0"/>
        </patternFill>
      </fill>
    </dxf>
    <dxf>
      <fill>
        <patternFill patternType="none">
          <bgColor indexed="65"/>
        </patternFill>
      </fill>
    </dxf>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patternType="none">
          <bgColor indexed="65"/>
        </patternFill>
      </fill>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u val="none"/>
        <color theme="0"/>
      </font>
      <fill>
        <patternFill patternType="solid">
          <fgColor auto="1"/>
          <bgColor auto="1"/>
        </patternFill>
      </fill>
      <border>
        <left/>
        <right/>
        <top/>
        <bottom/>
      </border>
    </dxf>
    <dxf>
      <font>
        <b val="0"/>
        <i/>
        <color theme="0" tint="-0.24994659260841701"/>
      </font>
      <fill>
        <patternFill patternType="none">
          <bgColor auto="1"/>
        </patternFill>
      </fill>
      <border>
        <left/>
        <right/>
        <top/>
        <bottom/>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strike val="0"/>
        <u val="none"/>
        <color theme="0"/>
      </font>
      <fill>
        <patternFill patternType="none">
          <fgColor indexed="64"/>
          <bgColor auto="1"/>
        </patternFill>
      </fill>
      <border>
        <left/>
        <right/>
        <top/>
        <bottom/>
        <vertical/>
        <horizontal/>
      </border>
    </dxf>
    <dxf>
      <font>
        <u val="none"/>
        <color theme="0"/>
      </font>
      <fill>
        <patternFill patternType="solid">
          <fgColor theme="0"/>
          <bgColor auto="1"/>
        </patternFill>
      </fill>
      <border>
        <left/>
        <right/>
        <top/>
        <bottom/>
        <vertical/>
        <horizontal/>
      </border>
    </dxf>
    <dxf>
      <font>
        <b val="0"/>
        <i/>
        <color theme="0"/>
      </font>
      <fill>
        <patternFill patternType="none">
          <bgColor auto="1"/>
        </patternFill>
      </fill>
      <border>
        <left/>
        <right/>
        <top/>
        <bottom/>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ill>
        <patternFill>
          <bgColor theme="0" tint="-0.14996795556505021"/>
        </patternFill>
      </fill>
    </dxf>
    <dxf>
      <fill>
        <patternFill>
          <bgColor theme="0" tint="-0.14996795556505021"/>
        </patternFill>
      </fill>
    </dxf>
    <dxf>
      <font>
        <color rgb="FF9C0006"/>
      </font>
    </dxf>
  </dxfs>
  <tableStyles count="0" defaultTableStyle="TableStyleMedium2" defaultPivotStyle="PivotStyleLight16"/>
  <colors>
    <mruColors>
      <color rgb="FFF85208"/>
      <color rgb="FF142C41"/>
      <color rgb="FF053962"/>
      <color rgb="FF063F6E"/>
      <color rgb="FFFF3399"/>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externalLink" Target="externalLinks/externalLink2.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5.xml"/><Relationship Id="rId40" Type="http://schemas.openxmlformats.org/officeDocument/2006/relationships/sharedStrings" Target="sharedString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theme" Target="theme/theme1.xml"/><Relationship Id="rId20" Type="http://schemas.openxmlformats.org/officeDocument/2006/relationships/worksheet" Target="worksheets/sheet20.xml"/><Relationship Id="rId41" Type="http://schemas.microsoft.com/office/2017/10/relationships/person" Target="persons/perso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D7053240-CE69-11CD-A777-00DD01143C57}"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D7053240-CE69-11CD-A777-00DD01143C57}" ax:persistence="persistStreamInit" r:id="rId1"/>
</file>

<file path=xl/activeX/activeX13.xml><?xml version="1.0" encoding="utf-8"?>
<ax:ocx xmlns:ax="http://schemas.microsoft.com/office/2006/activeX" xmlns:r="http://schemas.openxmlformats.org/officeDocument/2006/relationships" ax:classid="{D7053240-CE69-11CD-A777-00DD01143C57}" ax:persistence="persistStreamInit" r:id="rId1"/>
</file>

<file path=xl/activeX/activeX14.xml><?xml version="1.0" encoding="utf-8"?>
<ax:ocx xmlns:ax="http://schemas.microsoft.com/office/2006/activeX" xmlns:r="http://schemas.openxmlformats.org/officeDocument/2006/relationships" ax:classid="{8BD21D50-EC42-11CE-9E0D-00AA006002F3}" ax:persistence="persistStreamInit" r:id="rId1"/>
</file>

<file path=xl/activeX/activeX15.xml><?xml version="1.0" encoding="utf-8"?>
<ax:ocx xmlns:ax="http://schemas.microsoft.com/office/2006/activeX" xmlns:r="http://schemas.openxmlformats.org/officeDocument/2006/relationships" ax:classid="{8BD21D50-EC42-11CE-9E0D-00AA006002F3}" ax:persistence="persistStreamInit" r:id="rId1"/>
</file>

<file path=xl/activeX/activeX16.xml><?xml version="1.0" encoding="utf-8"?>
<ax:ocx xmlns:ax="http://schemas.microsoft.com/office/2006/activeX" xmlns:r="http://schemas.openxmlformats.org/officeDocument/2006/relationships" ax:classid="{8BD21D50-EC42-11CE-9E0D-00AA006002F3}" ax:persistence="persistStreamInit" r:id="rId1"/>
</file>

<file path=xl/activeX/activeX17.xml><?xml version="1.0" encoding="utf-8"?>
<ax:ocx xmlns:ax="http://schemas.microsoft.com/office/2006/activeX" xmlns:r="http://schemas.openxmlformats.org/officeDocument/2006/relationships" ax:classid="{8BD21D50-EC42-11CE-9E0D-00AA006002F3}" ax:persistence="persistStreamInit" r:id="rId1"/>
</file>

<file path=xl/activeX/activeX18.xml><?xml version="1.0" encoding="utf-8"?>
<ax:ocx xmlns:ax="http://schemas.microsoft.com/office/2006/activeX" xmlns:r="http://schemas.openxmlformats.org/officeDocument/2006/relationships" ax:classid="{D7053240-CE69-11CD-A777-00DD01143C57}" ax:persistence="persistStreamInit" r:id="rId1"/>
</file>

<file path=xl/activeX/activeX19.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50-EC42-11CE-9E0D-00AA006002F3}" ax:persistence="persistStreamInit" r:id="rId1"/>
</file>

<file path=xl/activeX/activeX21.xml><?xml version="1.0" encoding="utf-8"?>
<ax:ocx xmlns:ax="http://schemas.microsoft.com/office/2006/activeX" xmlns:r="http://schemas.openxmlformats.org/officeDocument/2006/relationships" ax:classid="{8BD21D50-EC42-11CE-9E0D-00AA006002F3}" ax:persistence="persistStreamInit" r:id="rId1"/>
</file>

<file path=xl/activeX/activeX22.xml><?xml version="1.0" encoding="utf-8"?>
<ax:ocx xmlns:ax="http://schemas.microsoft.com/office/2006/activeX" xmlns:r="http://schemas.openxmlformats.org/officeDocument/2006/relationships" ax:classid="{8BD21D50-EC42-11CE-9E0D-00AA006002F3}" ax:persistence="persistStreamInit" r:id="rId1"/>
</file>

<file path=xl/activeX/activeX23.xml><?xml version="1.0" encoding="utf-8"?>
<ax:ocx xmlns:ax="http://schemas.microsoft.com/office/2006/activeX" xmlns:r="http://schemas.openxmlformats.org/officeDocument/2006/relationships" ax:classid="{D7053240-CE69-11CD-A777-00DD01143C57}" ax:persistence="persistStreamInit" r:id="rId1"/>
</file>

<file path=xl/activeX/activeX24.xml><?xml version="1.0" encoding="utf-8"?>
<ax:ocx xmlns:ax="http://schemas.microsoft.com/office/2006/activeX" xmlns:r="http://schemas.openxmlformats.org/officeDocument/2006/relationships" ax:classid="{8BD21D50-EC42-11CE-9E0D-00AA006002F3}" ax:persistence="persistStreamInit" r:id="rId1"/>
</file>

<file path=xl/activeX/activeX25.xml><?xml version="1.0" encoding="utf-8"?>
<ax:ocx xmlns:ax="http://schemas.microsoft.com/office/2006/activeX" xmlns:r="http://schemas.openxmlformats.org/officeDocument/2006/relationships" ax:classid="{8BD21D50-EC42-11CE-9E0D-00AA006002F3}" ax:persistence="persistStreamInit" r:id="rId1"/>
</file>

<file path=xl/activeX/activeX26.xml><?xml version="1.0" encoding="utf-8"?>
<ax:ocx xmlns:ax="http://schemas.microsoft.com/office/2006/activeX" xmlns:r="http://schemas.openxmlformats.org/officeDocument/2006/relationships" ax:classid="{8BD21D50-EC42-11CE-9E0D-00AA006002F3}" ax:persistence="persistStreamInit" r:id="rId1"/>
</file>

<file path=xl/activeX/activeX27.xml><?xml version="1.0" encoding="utf-8"?>
<ax:ocx xmlns:ax="http://schemas.microsoft.com/office/2006/activeX" xmlns:r="http://schemas.openxmlformats.org/officeDocument/2006/relationships" ax:classid="{8BD21D50-EC42-11CE-9E0D-00AA006002F3}" ax:persistence="persistStreamInit" r:id="rId1"/>
</file>

<file path=xl/activeX/activeX28.xml><?xml version="1.0" encoding="utf-8"?>
<ax:ocx xmlns:ax="http://schemas.microsoft.com/office/2006/activeX" xmlns:r="http://schemas.openxmlformats.org/officeDocument/2006/relationships" ax:classid="{D7053240-CE69-11CD-A777-00DD01143C57}" ax:persistence="persistStreamInit" r:id="rId1"/>
</file>

<file path=xl/activeX/activeX29.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50-EC42-11CE-9E0D-00AA006002F3}" ax:persistence="persistStreamInit" r:id="rId1"/>
</file>

<file path=xl/activeX/activeX31.xml><?xml version="1.0" encoding="utf-8"?>
<ax:ocx xmlns:ax="http://schemas.microsoft.com/office/2006/activeX" xmlns:r="http://schemas.openxmlformats.org/officeDocument/2006/relationships" ax:classid="{8BD21D50-EC42-11CE-9E0D-00AA006002F3}" ax:persistence="persistStreamInit" r:id="rId1"/>
</file>

<file path=xl/activeX/activeX32.xml><?xml version="1.0" encoding="utf-8"?>
<ax:ocx xmlns:ax="http://schemas.microsoft.com/office/2006/activeX" xmlns:r="http://schemas.openxmlformats.org/officeDocument/2006/relationships" ax:classid="{8BD21D50-EC42-11CE-9E0D-00AA006002F3}" ax:persistence="persistStreamInit" r:id="rId1"/>
</file>

<file path=xl/activeX/activeX33.xml><?xml version="1.0" encoding="utf-8"?>
<ax:ocx xmlns:ax="http://schemas.microsoft.com/office/2006/activeX" xmlns:r="http://schemas.openxmlformats.org/officeDocument/2006/relationships" ax:classid="{D7053240-CE69-11CD-A777-00DD01143C57}" ax:persistence="persistStreamInit" r:id="rId1"/>
</file>

<file path=xl/activeX/activeX34.xml><?xml version="1.0" encoding="utf-8"?>
<ax:ocx xmlns:ax="http://schemas.microsoft.com/office/2006/activeX" xmlns:r="http://schemas.openxmlformats.org/officeDocument/2006/relationships" ax:classid="{8BD21D50-EC42-11CE-9E0D-00AA006002F3}" ax:persistence="persistStreamInit" r:id="rId1"/>
</file>

<file path=xl/activeX/activeX35.xml><?xml version="1.0" encoding="utf-8"?>
<ax:ocx xmlns:ax="http://schemas.microsoft.com/office/2006/activeX" xmlns:r="http://schemas.openxmlformats.org/officeDocument/2006/relationships" ax:classid="{8BD21D50-EC42-11CE-9E0D-00AA006002F3}" ax:persistence="persistStreamInit" r:id="rId1"/>
</file>

<file path=xl/activeX/activeX36.xml><?xml version="1.0" encoding="utf-8"?>
<ax:ocx xmlns:ax="http://schemas.microsoft.com/office/2006/activeX" xmlns:r="http://schemas.openxmlformats.org/officeDocument/2006/relationships" ax:classid="{8BD21D50-EC42-11CE-9E0D-00AA006002F3}" ax:persistence="persistStreamInit" r:id="rId1"/>
</file>

<file path=xl/activeX/activeX37.xml><?xml version="1.0" encoding="utf-8"?>
<ax:ocx xmlns:ax="http://schemas.microsoft.com/office/2006/activeX" xmlns:r="http://schemas.openxmlformats.org/officeDocument/2006/relationships" ax:classid="{8BD21D50-EC42-11CE-9E0D-00AA006002F3}" ax:persistence="persistStreamInit" r:id="rId1"/>
</file>

<file path=xl/activeX/activeX38.xml><?xml version="1.0" encoding="utf-8"?>
<ax:ocx xmlns:ax="http://schemas.microsoft.com/office/2006/activeX" xmlns:r="http://schemas.openxmlformats.org/officeDocument/2006/relationships" ax:classid="{D7053240-CE69-11CD-A777-00DD01143C57}" ax:persistence="persistStreamInit" r:id="rId1"/>
</file>

<file path=xl/activeX/activeX39.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50-EC42-11CE-9E0D-00AA006002F3}" ax:persistence="persistStreamInit" r:id="rId1"/>
</file>

<file path=xl/activeX/activeX41.xml><?xml version="1.0" encoding="utf-8"?>
<ax:ocx xmlns:ax="http://schemas.microsoft.com/office/2006/activeX" xmlns:r="http://schemas.openxmlformats.org/officeDocument/2006/relationships" ax:classid="{8BD21D50-EC42-11CE-9E0D-00AA006002F3}" ax:persistence="persistStreamInit" r:id="rId1"/>
</file>

<file path=xl/activeX/activeX42.xml><?xml version="1.0" encoding="utf-8"?>
<ax:ocx xmlns:ax="http://schemas.microsoft.com/office/2006/activeX" xmlns:r="http://schemas.openxmlformats.org/officeDocument/2006/relationships" ax:classid="{8BD21D50-EC42-11CE-9E0D-00AA006002F3}" ax:persistence="persistStreamInit" r:id="rId1"/>
</file>

<file path=xl/activeX/activeX43.xml><?xml version="1.0" encoding="utf-8"?>
<ax:ocx xmlns:ax="http://schemas.microsoft.com/office/2006/activeX" xmlns:r="http://schemas.openxmlformats.org/officeDocument/2006/relationships" ax:classid="{D7053240-CE69-11CD-A777-00DD01143C57}" ax:persistence="persistStreamInit" r:id="rId1"/>
</file>

<file path=xl/activeX/activeX44.xml><?xml version="1.0" encoding="utf-8"?>
<ax:ocx xmlns:ax="http://schemas.microsoft.com/office/2006/activeX" xmlns:r="http://schemas.openxmlformats.org/officeDocument/2006/relationships" ax:classid="{8BD21D50-EC42-11CE-9E0D-00AA006002F3}" ax:persistence="persistStreamInit" r:id="rId1"/>
</file>

<file path=xl/activeX/activeX45.xml><?xml version="1.0" encoding="utf-8"?>
<ax:ocx xmlns:ax="http://schemas.microsoft.com/office/2006/activeX" xmlns:r="http://schemas.openxmlformats.org/officeDocument/2006/relationships" ax:classid="{8BD21D50-EC42-11CE-9E0D-00AA006002F3}" ax:persistence="persistStreamInit" r:id="rId1"/>
</file>

<file path=xl/activeX/activeX46.xml><?xml version="1.0" encoding="utf-8"?>
<ax:ocx xmlns:ax="http://schemas.microsoft.com/office/2006/activeX" xmlns:r="http://schemas.openxmlformats.org/officeDocument/2006/relationships" ax:classid="{8BD21D50-EC42-11CE-9E0D-00AA006002F3}" ax:persistence="persistStreamInit" r:id="rId1"/>
</file>

<file path=xl/activeX/activeX47.xml><?xml version="1.0" encoding="utf-8"?>
<ax:ocx xmlns:ax="http://schemas.microsoft.com/office/2006/activeX" xmlns:r="http://schemas.openxmlformats.org/officeDocument/2006/relationships" ax:classid="{8BD21D50-EC42-11CE-9E0D-00AA006002F3}" ax:persistence="persistStreamInit" r:id="rId1"/>
</file>

<file path=xl/activeX/activeX48.xml><?xml version="1.0" encoding="utf-8"?>
<ax:ocx xmlns:ax="http://schemas.microsoft.com/office/2006/activeX" xmlns:r="http://schemas.openxmlformats.org/officeDocument/2006/relationships" ax:classid="{D7053240-CE69-11CD-A777-00DD01143C57}" ax:persistence="persistStreamInit" r:id="rId1"/>
</file>

<file path=xl/activeX/activeX49.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50-EC42-11CE-9E0D-00AA006002F3}" ax:persistence="persistStreamInit" r:id="rId1"/>
</file>

<file path=xl/activeX/activeX51.xml><?xml version="1.0" encoding="utf-8"?>
<ax:ocx xmlns:ax="http://schemas.microsoft.com/office/2006/activeX" xmlns:r="http://schemas.openxmlformats.org/officeDocument/2006/relationships" ax:classid="{8BD21D50-EC42-11CE-9E0D-00AA006002F3}" ax:persistence="persistStreamInit" r:id="rId1"/>
</file>

<file path=xl/activeX/activeX52.xml><?xml version="1.0" encoding="utf-8"?>
<ax:ocx xmlns:ax="http://schemas.microsoft.com/office/2006/activeX" xmlns:r="http://schemas.openxmlformats.org/officeDocument/2006/relationships" ax:classid="{8BD21D50-EC42-11CE-9E0D-00AA006002F3}" ax:persistence="persistStreamInit" r:id="rId1"/>
</file>

<file path=xl/activeX/activeX53.xml><?xml version="1.0" encoding="utf-8"?>
<ax:ocx xmlns:ax="http://schemas.microsoft.com/office/2006/activeX" xmlns:r="http://schemas.openxmlformats.org/officeDocument/2006/relationships" ax:classid="{8BD21D50-EC42-11CE-9E0D-00AA006002F3}" ax:persistence="persistStreamInit" r:id="rId1"/>
</file>

<file path=xl/activeX/activeX54.xml><?xml version="1.0" encoding="utf-8"?>
<ax:ocx xmlns:ax="http://schemas.microsoft.com/office/2006/activeX" xmlns:r="http://schemas.openxmlformats.org/officeDocument/2006/relationships" ax:classid="{8BD21D50-EC42-11CE-9E0D-00AA006002F3}" ax:persistence="persistStreamInit" r:id="rId1"/>
</file>

<file path=xl/activeX/activeX55.xml><?xml version="1.0" encoding="utf-8"?>
<ax:ocx xmlns:ax="http://schemas.microsoft.com/office/2006/activeX" xmlns:r="http://schemas.openxmlformats.org/officeDocument/2006/relationships" ax:classid="{8BD21D50-EC42-11CE-9E0D-00AA006002F3}" ax:persistence="persistStreamInit" r:id="rId1"/>
</file>

<file path=xl/activeX/activeX56.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Radio" firstButton="1"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Radio" firstButton="1"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Radio" firstButton="1"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Radio" firstButton="1"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Radio" firstButton="1" lockText="1" noThreeD="1"/>
</file>

<file path=xl/ctrlProps/ctrlProp121.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Radio" firstButton="1"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Radio" firstButton="1"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Radio" firstButton="1"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Radio"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GBox" noThreeD="1"/>
</file>

<file path=xl/ctrlProps/ctrlProp155.xml><?xml version="1.0" encoding="utf-8"?>
<formControlPr xmlns="http://schemas.microsoft.com/office/spreadsheetml/2009/9/main" objectType="GBox" noThreeD="1"/>
</file>

<file path=xl/ctrlProps/ctrlProp156.xml><?xml version="1.0" encoding="utf-8"?>
<formControlPr xmlns="http://schemas.microsoft.com/office/spreadsheetml/2009/9/main" objectType="Radio" firstButton="1" lockText="1" noThreeD="1"/>
</file>

<file path=xl/ctrlProps/ctrlProp157.xml><?xml version="1.0" encoding="utf-8"?>
<formControlPr xmlns="http://schemas.microsoft.com/office/spreadsheetml/2009/9/main" objectType="Radio" lockText="1" noThreeD="1"/>
</file>

<file path=xl/ctrlProps/ctrlProp158.xml><?xml version="1.0" encoding="utf-8"?>
<formControlPr xmlns="http://schemas.microsoft.com/office/spreadsheetml/2009/9/main" objectType="Radio" lockText="1" noThreeD="1"/>
</file>

<file path=xl/ctrlProps/ctrlProp159.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lockText="1" noThreeD="1"/>
</file>

<file path=xl/ctrlProps/ctrlProp160.xml><?xml version="1.0" encoding="utf-8"?>
<formControlPr xmlns="http://schemas.microsoft.com/office/spreadsheetml/2009/9/main" objectType="GBox"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GBox" noThreeD="1"/>
</file>

<file path=xl/ctrlProps/ctrlProp166.xml><?xml version="1.0" encoding="utf-8"?>
<formControlPr xmlns="http://schemas.microsoft.com/office/spreadsheetml/2009/9/main" objectType="Radio" firstButton="1"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GBox" noThreeD="1"/>
</file>

<file path=xl/ctrlProps/ctrlProp169.xml><?xml version="1.0" encoding="utf-8"?>
<formControlPr xmlns="http://schemas.microsoft.com/office/spreadsheetml/2009/9/main" objectType="GBox" noThreeD="1"/>
</file>

<file path=xl/ctrlProps/ctrlProp17.xml><?xml version="1.0" encoding="utf-8"?>
<formControlPr xmlns="http://schemas.microsoft.com/office/spreadsheetml/2009/9/main" objectType="Radio" lockText="1" noThreeD="1"/>
</file>

<file path=xl/ctrlProps/ctrlProp170.xml><?xml version="1.0" encoding="utf-8"?>
<formControlPr xmlns="http://schemas.microsoft.com/office/spreadsheetml/2009/9/main" objectType="Radio" firstButton="1" lockText="1"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GBox"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GBox" noThreeD="1"/>
</file>

<file path=xl/ctrlProps/ctrlProp177.xml><?xml version="1.0" encoding="utf-8"?>
<formControlPr xmlns="http://schemas.microsoft.com/office/spreadsheetml/2009/9/main" objectType="Radio" firstButton="1" lockText="1" noThreeD="1"/>
</file>

<file path=xl/ctrlProps/ctrlProp178.xml><?xml version="1.0" encoding="utf-8"?>
<formControlPr xmlns="http://schemas.microsoft.com/office/spreadsheetml/2009/9/main" objectType="Radio" lockText="1" noThreeD="1"/>
</file>

<file path=xl/ctrlProps/ctrlProp179.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80.xml><?xml version="1.0" encoding="utf-8"?>
<formControlPr xmlns="http://schemas.microsoft.com/office/spreadsheetml/2009/9/main" objectType="GBox" noThreeD="1"/>
</file>

<file path=xl/ctrlProps/ctrlProp181.xml><?xml version="1.0" encoding="utf-8"?>
<formControlPr xmlns="http://schemas.microsoft.com/office/spreadsheetml/2009/9/main" objectType="Radio" lockText="1" noThreeD="1"/>
</file>

<file path=xl/ctrlProps/ctrlProp182.xml><?xml version="1.0" encoding="utf-8"?>
<formControlPr xmlns="http://schemas.microsoft.com/office/spreadsheetml/2009/9/main" objectType="Radio" lockText="1" noThreeD="1"/>
</file>

<file path=xl/ctrlProps/ctrlProp183.xml><?xml version="1.0" encoding="utf-8"?>
<formControlPr xmlns="http://schemas.microsoft.com/office/spreadsheetml/2009/9/main" objectType="GBox" noThreeD="1"/>
</file>

<file path=xl/ctrlProps/ctrlProp184.xml><?xml version="1.0" encoding="utf-8"?>
<formControlPr xmlns="http://schemas.microsoft.com/office/spreadsheetml/2009/9/main" objectType="GBox" noThreeD="1"/>
</file>

<file path=xl/ctrlProps/ctrlProp185.xml><?xml version="1.0" encoding="utf-8"?>
<formControlPr xmlns="http://schemas.microsoft.com/office/spreadsheetml/2009/9/main" objectType="Radio" firstButton="1" lockText="1" noThreeD="1"/>
</file>

<file path=xl/ctrlProps/ctrlProp186.xml><?xml version="1.0" encoding="utf-8"?>
<formControlPr xmlns="http://schemas.microsoft.com/office/spreadsheetml/2009/9/main" objectType="Radio" lockText="1" noThreeD="1"/>
</file>

<file path=xl/ctrlProps/ctrlProp187.xml><?xml version="1.0" encoding="utf-8"?>
<formControlPr xmlns="http://schemas.microsoft.com/office/spreadsheetml/2009/9/main" objectType="Radio" lockText="1"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GBox" noThreeD="1"/>
</file>

<file path=xl/ctrlProps/ctrlProp195.xml><?xml version="1.0" encoding="utf-8"?>
<formControlPr xmlns="http://schemas.microsoft.com/office/spreadsheetml/2009/9/main" objectType="Radio" firstButton="1" lockText="1" noThreeD="1"/>
</file>

<file path=xl/ctrlProps/ctrlProp196.xml><?xml version="1.0" encoding="utf-8"?>
<formControlPr xmlns="http://schemas.microsoft.com/office/spreadsheetml/2009/9/main" objectType="Radio" lockText="1" noThreeD="1"/>
</file>

<file path=xl/ctrlProps/ctrlProp197.xml><?xml version="1.0" encoding="utf-8"?>
<formControlPr xmlns="http://schemas.microsoft.com/office/spreadsheetml/2009/9/main" objectType="GBox" noThreeD="1"/>
</file>

<file path=xl/ctrlProps/ctrlProp198.xml><?xml version="1.0" encoding="utf-8"?>
<formControlPr xmlns="http://schemas.microsoft.com/office/spreadsheetml/2009/9/main" objectType="GBox" noThreeD="1"/>
</file>

<file path=xl/ctrlProps/ctrlProp19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GBox" noThreeD="1"/>
</file>

<file path=xl/ctrlProps/ctrlProp200.xml><?xml version="1.0" encoding="utf-8"?>
<formControlPr xmlns="http://schemas.microsoft.com/office/spreadsheetml/2009/9/main" objectType="Radio" lockText="1" noThreeD="1"/>
</file>

<file path=xl/ctrlProps/ctrlProp201.xml><?xml version="1.0" encoding="utf-8"?>
<formControlPr xmlns="http://schemas.microsoft.com/office/spreadsheetml/2009/9/main" objectType="GBox" noThreeD="1"/>
</file>

<file path=xl/ctrlProps/ctrlProp202.xml><?xml version="1.0" encoding="utf-8"?>
<formControlPr xmlns="http://schemas.microsoft.com/office/spreadsheetml/2009/9/main" objectType="GBox"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GBox" noThreeD="1"/>
</file>

<file path=xl/ctrlProps/ctrlProp206.xml><?xml version="1.0" encoding="utf-8"?>
<formControlPr xmlns="http://schemas.microsoft.com/office/spreadsheetml/2009/9/main" objectType="Radio" firstButton="1" lockText="1" noThreeD="1"/>
</file>

<file path=xl/ctrlProps/ctrlProp207.xml><?xml version="1.0" encoding="utf-8"?>
<formControlPr xmlns="http://schemas.microsoft.com/office/spreadsheetml/2009/9/main" objectType="Radio" lockText="1" noThreeD="1"/>
</file>

<file path=xl/ctrlProps/ctrlProp208.xml><?xml version="1.0" encoding="utf-8"?>
<formControlPr xmlns="http://schemas.microsoft.com/office/spreadsheetml/2009/9/main" objectType="GBox" noThreeD="1"/>
</file>

<file path=xl/ctrlProps/ctrlProp209.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10.xml><?xml version="1.0" encoding="utf-8"?>
<formControlPr xmlns="http://schemas.microsoft.com/office/spreadsheetml/2009/9/main" objectType="Radio" lockText="1" noThreeD="1"/>
</file>

<file path=xl/ctrlProps/ctrlProp211.xml><?xml version="1.0" encoding="utf-8"?>
<formControlPr xmlns="http://schemas.microsoft.com/office/spreadsheetml/2009/9/main" objectType="Radio" lockText="1" noThreeD="1"/>
</file>

<file path=xl/ctrlProps/ctrlProp212.xml><?xml version="1.0" encoding="utf-8"?>
<formControlPr xmlns="http://schemas.microsoft.com/office/spreadsheetml/2009/9/main" objectType="GBox" noThreeD="1"/>
</file>

<file path=xl/ctrlProps/ctrlProp213.xml><?xml version="1.0" encoding="utf-8"?>
<formControlPr xmlns="http://schemas.microsoft.com/office/spreadsheetml/2009/9/main" objectType="GBox" noThreeD="1"/>
</file>

<file path=xl/ctrlProps/ctrlProp214.xml><?xml version="1.0" encoding="utf-8"?>
<formControlPr xmlns="http://schemas.microsoft.com/office/spreadsheetml/2009/9/main" objectType="Radio" firstButton="1" lockText="1" noThreeD="1"/>
</file>

<file path=xl/ctrlProps/ctrlProp215.xml><?xml version="1.0" encoding="utf-8"?>
<formControlPr xmlns="http://schemas.microsoft.com/office/spreadsheetml/2009/9/main" objectType="Radio"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GBox" noThreeD="1"/>
</file>

<file path=xl/ctrlProps/ctrlProp218.xml><?xml version="1.0" encoding="utf-8"?>
<formControlPr xmlns="http://schemas.microsoft.com/office/spreadsheetml/2009/9/main" objectType="GBox"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GBox"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GBox" noThreeD="1"/>
</file>

<file path=xl/ctrlProps/ctrlProp224.xml><?xml version="1.0" encoding="utf-8"?>
<formControlPr xmlns="http://schemas.microsoft.com/office/spreadsheetml/2009/9/main" objectType="Radio" firstButton="1" lockText="1" noThreeD="1"/>
</file>

<file path=xl/ctrlProps/ctrlProp225.xml><?xml version="1.0" encoding="utf-8"?>
<formControlPr xmlns="http://schemas.microsoft.com/office/spreadsheetml/2009/9/main" objectType="Radio" lockText="1" noThreeD="1"/>
</file>

<file path=xl/ctrlProps/ctrlProp226.xml><?xml version="1.0" encoding="utf-8"?>
<formControlPr xmlns="http://schemas.microsoft.com/office/spreadsheetml/2009/9/main" objectType="GBox" noThreeD="1"/>
</file>

<file path=xl/ctrlProps/ctrlProp227.xml><?xml version="1.0" encoding="utf-8"?>
<formControlPr xmlns="http://schemas.microsoft.com/office/spreadsheetml/2009/9/main" objectType="GBox" noThreeD="1"/>
</file>

<file path=xl/ctrlProps/ctrlProp228.xml><?xml version="1.0" encoding="utf-8"?>
<formControlPr xmlns="http://schemas.microsoft.com/office/spreadsheetml/2009/9/main" objectType="Radio" firstButton="1" lockText="1" noThreeD="1"/>
</file>

<file path=xl/ctrlProps/ctrlProp229.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GBox" noThreeD="1"/>
</file>

<file path=xl/ctrlProps/ctrlProp230.xml><?xml version="1.0" encoding="utf-8"?>
<formControlPr xmlns="http://schemas.microsoft.com/office/spreadsheetml/2009/9/main" objectType="GBox" noThreeD="1"/>
</file>

<file path=xl/ctrlProps/ctrlProp231.xml><?xml version="1.0" encoding="utf-8"?>
<formControlPr xmlns="http://schemas.microsoft.com/office/spreadsheetml/2009/9/main" objectType="GBox"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GBox" noThreeD="1"/>
</file>

<file path=xl/ctrlProps/ctrlProp235.xml><?xml version="1.0" encoding="utf-8"?>
<formControlPr xmlns="http://schemas.microsoft.com/office/spreadsheetml/2009/9/main" objectType="Radio" firstButton="1" lockText="1" noThreeD="1"/>
</file>

<file path=xl/ctrlProps/ctrlProp236.xml><?xml version="1.0" encoding="utf-8"?>
<formControlPr xmlns="http://schemas.microsoft.com/office/spreadsheetml/2009/9/main" objectType="Radio" lockText="1" noThreeD="1"/>
</file>

<file path=xl/ctrlProps/ctrlProp237.xml><?xml version="1.0" encoding="utf-8"?>
<formControlPr xmlns="http://schemas.microsoft.com/office/spreadsheetml/2009/9/main" objectType="GBox" noThreeD="1"/>
</file>

<file path=xl/ctrlProps/ctrlProp238.xml><?xml version="1.0" encoding="utf-8"?>
<formControlPr xmlns="http://schemas.microsoft.com/office/spreadsheetml/2009/9/main" objectType="GBox" noThreeD="1"/>
</file>

<file path=xl/ctrlProps/ctrlProp239.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40.xml><?xml version="1.0" encoding="utf-8"?>
<formControlPr xmlns="http://schemas.microsoft.com/office/spreadsheetml/2009/9/main" objectType="Radio" lockText="1" noThreeD="1"/>
</file>

<file path=xl/ctrlProps/ctrlProp241.xml><?xml version="1.0" encoding="utf-8"?>
<formControlPr xmlns="http://schemas.microsoft.com/office/spreadsheetml/2009/9/main" objectType="GBox" noThreeD="1"/>
</file>

<file path=xl/ctrlProps/ctrlProp242.xml><?xml version="1.0" encoding="utf-8"?>
<formControlPr xmlns="http://schemas.microsoft.com/office/spreadsheetml/2009/9/main" objectType="GBox" noThreeD="1"/>
</file>

<file path=xl/ctrlProps/ctrlProp243.xml><?xml version="1.0" encoding="utf-8"?>
<formControlPr xmlns="http://schemas.microsoft.com/office/spreadsheetml/2009/9/main" objectType="Radio" firstButton="1" lockText="1" noThreeD="1"/>
</file>

<file path=xl/ctrlProps/ctrlProp244.xml><?xml version="1.0" encoding="utf-8"?>
<formControlPr xmlns="http://schemas.microsoft.com/office/spreadsheetml/2009/9/main" objectType="Radio" lockText="1" noThreeD="1"/>
</file>

<file path=xl/ctrlProps/ctrlProp245.xml><?xml version="1.0" encoding="utf-8"?>
<formControlPr xmlns="http://schemas.microsoft.com/office/spreadsheetml/2009/9/main" objectType="Radio" lockText="1" noThreeD="1"/>
</file>

<file path=xl/ctrlProps/ctrlProp246.xml><?xml version="1.0" encoding="utf-8"?>
<formControlPr xmlns="http://schemas.microsoft.com/office/spreadsheetml/2009/9/main" objectType="GBox" noThreeD="1"/>
</file>

<file path=xl/ctrlProps/ctrlProp247.xml><?xml version="1.0" encoding="utf-8"?>
<formControlPr xmlns="http://schemas.microsoft.com/office/spreadsheetml/2009/9/main" objectType="GBox"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GBox"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GBox" noThreeD="1"/>
</file>

<file path=xl/ctrlProps/ctrlProp253.xml><?xml version="1.0" encoding="utf-8"?>
<formControlPr xmlns="http://schemas.microsoft.com/office/spreadsheetml/2009/9/main" objectType="Radio" firstButton="1" lockText="1" noThreeD="1"/>
</file>

<file path=xl/ctrlProps/ctrlProp254.xml><?xml version="1.0" encoding="utf-8"?>
<formControlPr xmlns="http://schemas.microsoft.com/office/spreadsheetml/2009/9/main" objectType="Radio" lockText="1" noThreeD="1"/>
</file>

<file path=xl/ctrlProps/ctrlProp255.xml><?xml version="1.0" encoding="utf-8"?>
<formControlPr xmlns="http://schemas.microsoft.com/office/spreadsheetml/2009/9/main" objectType="GBox" noThreeD="1"/>
</file>

<file path=xl/ctrlProps/ctrlProp256.xml><?xml version="1.0" encoding="utf-8"?>
<formControlPr xmlns="http://schemas.microsoft.com/office/spreadsheetml/2009/9/main" objectType="GBox" noThreeD="1"/>
</file>

<file path=xl/ctrlProps/ctrlProp257.xml><?xml version="1.0" encoding="utf-8"?>
<formControlPr xmlns="http://schemas.microsoft.com/office/spreadsheetml/2009/9/main" objectType="Radio" firstButton="1" lockText="1" noThreeD="1"/>
</file>

<file path=xl/ctrlProps/ctrlProp258.xml><?xml version="1.0" encoding="utf-8"?>
<formControlPr xmlns="http://schemas.microsoft.com/office/spreadsheetml/2009/9/main" objectType="Radio" lockText="1" noThreeD="1"/>
</file>

<file path=xl/ctrlProps/ctrlProp259.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60.xml><?xml version="1.0" encoding="utf-8"?>
<formControlPr xmlns="http://schemas.microsoft.com/office/spreadsheetml/2009/9/main" objectType="GBox"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GBox" noThreeD="1"/>
</file>

<file path=xl/ctrlProps/ctrlProp264.xml><?xml version="1.0" encoding="utf-8"?>
<formControlPr xmlns="http://schemas.microsoft.com/office/spreadsheetml/2009/9/main" objectType="Radio" firstButton="1" lockText="1" noThreeD="1"/>
</file>

<file path=xl/ctrlProps/ctrlProp265.xml><?xml version="1.0" encoding="utf-8"?>
<formControlPr xmlns="http://schemas.microsoft.com/office/spreadsheetml/2009/9/main" objectType="Radio" lockText="1" noThreeD="1"/>
</file>

<file path=xl/ctrlProps/ctrlProp266.xml><?xml version="1.0" encoding="utf-8"?>
<formControlPr xmlns="http://schemas.microsoft.com/office/spreadsheetml/2009/9/main" objectType="GBox" noThreeD="1"/>
</file>

<file path=xl/ctrlProps/ctrlProp267.xml><?xml version="1.0" encoding="utf-8"?>
<formControlPr xmlns="http://schemas.microsoft.com/office/spreadsheetml/2009/9/main" objectType="GBox" noThreeD="1"/>
</file>

<file path=xl/ctrlProps/ctrlProp268.xml><?xml version="1.0" encoding="utf-8"?>
<formControlPr xmlns="http://schemas.microsoft.com/office/spreadsheetml/2009/9/main" objectType="Radio" lockText="1" noThreeD="1"/>
</file>

<file path=xl/ctrlProps/ctrlProp269.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GBox" noThreeD="1"/>
</file>

<file path=xl/ctrlProps/ctrlProp270.xml><?xml version="1.0" encoding="utf-8"?>
<formControlPr xmlns="http://schemas.microsoft.com/office/spreadsheetml/2009/9/main" objectType="GBox" noThreeD="1"/>
</file>

<file path=xl/ctrlProps/ctrlProp271.xml><?xml version="1.0" encoding="utf-8"?>
<formControlPr xmlns="http://schemas.microsoft.com/office/spreadsheetml/2009/9/main" objectType="GBox" noThreeD="1"/>
</file>

<file path=xl/ctrlProps/ctrlProp272.xml><?xml version="1.0" encoding="utf-8"?>
<formControlPr xmlns="http://schemas.microsoft.com/office/spreadsheetml/2009/9/main" objectType="Radio" firstButton="1" lockText="1" noThreeD="1"/>
</file>

<file path=xl/ctrlProps/ctrlProp273.xml><?xml version="1.0" encoding="utf-8"?>
<formControlPr xmlns="http://schemas.microsoft.com/office/spreadsheetml/2009/9/main" objectType="Radio" lockText="1" noThreeD="1"/>
</file>

<file path=xl/ctrlProps/ctrlProp274.xml><?xml version="1.0" encoding="utf-8"?>
<formControlPr xmlns="http://schemas.microsoft.com/office/spreadsheetml/2009/9/main" objectType="Radio" lockText="1" noThreeD="1"/>
</file>

<file path=xl/ctrlProps/ctrlProp275.xml><?xml version="1.0" encoding="utf-8"?>
<formControlPr xmlns="http://schemas.microsoft.com/office/spreadsheetml/2009/9/main" objectType="GBox" noThreeD="1"/>
</file>

<file path=xl/ctrlProps/ctrlProp276.xml><?xml version="1.0" encoding="utf-8"?>
<formControlPr xmlns="http://schemas.microsoft.com/office/spreadsheetml/2009/9/main" objectType="GBox"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GBox"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GBox" noThreeD="1"/>
</file>

<file path=xl/ctrlProps/ctrlProp282.xml><?xml version="1.0" encoding="utf-8"?>
<formControlPr xmlns="http://schemas.microsoft.com/office/spreadsheetml/2009/9/main" objectType="Radio" firstButton="1" lockText="1" noThreeD="1"/>
</file>

<file path=xl/ctrlProps/ctrlProp283.xml><?xml version="1.0" encoding="utf-8"?>
<formControlPr xmlns="http://schemas.microsoft.com/office/spreadsheetml/2009/9/main" objectType="Radio" lockText="1" noThreeD="1"/>
</file>

<file path=xl/ctrlProps/ctrlProp284.xml><?xml version="1.0" encoding="utf-8"?>
<formControlPr xmlns="http://schemas.microsoft.com/office/spreadsheetml/2009/9/main" objectType="GBox" noThreeD="1"/>
</file>

<file path=xl/ctrlProps/ctrlProp285.xml><?xml version="1.0" encoding="utf-8"?>
<formControlPr xmlns="http://schemas.microsoft.com/office/spreadsheetml/2009/9/main" objectType="GBox" noThreeD="1"/>
</file>

<file path=xl/ctrlProps/ctrlProp286.xml><?xml version="1.0" encoding="utf-8"?>
<formControlPr xmlns="http://schemas.microsoft.com/office/spreadsheetml/2009/9/main" objectType="Radio" firstButton="1" lockText="1" noThreeD="1"/>
</file>

<file path=xl/ctrlProps/ctrlProp287.xml><?xml version="1.0" encoding="utf-8"?>
<formControlPr xmlns="http://schemas.microsoft.com/office/spreadsheetml/2009/9/main" objectType="Radio" lockText="1" noThreeD="1"/>
</file>

<file path=xl/ctrlProps/ctrlProp288.xml><?xml version="1.0" encoding="utf-8"?>
<formControlPr xmlns="http://schemas.microsoft.com/office/spreadsheetml/2009/9/main" objectType="GBox" noThreeD="1"/>
</file>

<file path=xl/ctrlProps/ctrlProp289.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GBox" noThreeD="1"/>
</file>

<file path=xl/ctrlProps/ctrlProp293.xml><?xml version="1.0" encoding="utf-8"?>
<formControlPr xmlns="http://schemas.microsoft.com/office/spreadsheetml/2009/9/main" objectType="Radio" firstButton="1" lockText="1" noThreeD="1"/>
</file>

<file path=xl/ctrlProps/ctrlProp294.xml><?xml version="1.0" encoding="utf-8"?>
<formControlPr xmlns="http://schemas.microsoft.com/office/spreadsheetml/2009/9/main" objectType="Radio" lockText="1" noThreeD="1"/>
</file>

<file path=xl/ctrlProps/ctrlProp295.xml><?xml version="1.0" encoding="utf-8"?>
<formControlPr xmlns="http://schemas.microsoft.com/office/spreadsheetml/2009/9/main" objectType="GBox" noThreeD="1"/>
</file>

<file path=xl/ctrlProps/ctrlProp296.xml><?xml version="1.0" encoding="utf-8"?>
<formControlPr xmlns="http://schemas.microsoft.com/office/spreadsheetml/2009/9/main" objectType="GBox" noThreeD="1"/>
</file>

<file path=xl/ctrlProps/ctrlProp297.xml><?xml version="1.0" encoding="utf-8"?>
<formControlPr xmlns="http://schemas.microsoft.com/office/spreadsheetml/2009/9/main" objectType="Radio" lockText="1" noThreeD="1"/>
</file>

<file path=xl/ctrlProps/ctrlProp298.xml><?xml version="1.0" encoding="utf-8"?>
<formControlPr xmlns="http://schemas.microsoft.com/office/spreadsheetml/2009/9/main" objectType="Radio" lockText="1" noThreeD="1"/>
</file>

<file path=xl/ctrlProps/ctrlProp299.xml><?xml version="1.0" encoding="utf-8"?>
<formControlPr xmlns="http://schemas.microsoft.com/office/spreadsheetml/2009/9/main" objectType="GBox"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GBox" noThreeD="1"/>
</file>

<file path=xl/ctrlProps/ctrlProp300.xml><?xml version="1.0" encoding="utf-8"?>
<formControlPr xmlns="http://schemas.microsoft.com/office/spreadsheetml/2009/9/main" objectType="GBox" noThreeD="1"/>
</file>

<file path=xl/ctrlProps/ctrlProp301.xml><?xml version="1.0" encoding="utf-8"?>
<formControlPr xmlns="http://schemas.microsoft.com/office/spreadsheetml/2009/9/main" objectType="Radio" firstButton="1" lockText="1" noThreeD="1"/>
</file>

<file path=xl/ctrlProps/ctrlProp302.xml><?xml version="1.0" encoding="utf-8"?>
<formControlPr xmlns="http://schemas.microsoft.com/office/spreadsheetml/2009/9/main" objectType="Radio" lockText="1" noThreeD="1"/>
</file>

<file path=xl/ctrlProps/ctrlProp303.xml><?xml version="1.0" encoding="utf-8"?>
<formControlPr xmlns="http://schemas.microsoft.com/office/spreadsheetml/2009/9/main" objectType="Radio" lockText="1" noThreeD="1"/>
</file>

<file path=xl/ctrlProps/ctrlProp304.xml><?xml version="1.0" encoding="utf-8"?>
<formControlPr xmlns="http://schemas.microsoft.com/office/spreadsheetml/2009/9/main" objectType="GBox" noThreeD="1"/>
</file>

<file path=xl/ctrlProps/ctrlProp305.xml><?xml version="1.0" encoding="utf-8"?>
<formControlPr xmlns="http://schemas.microsoft.com/office/spreadsheetml/2009/9/main" objectType="GBox"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GBox" noThreeD="1"/>
</file>

<file path=xl/ctrlProps/ctrlProp310.xml><?xml version="1.0" encoding="utf-8"?>
<formControlPr xmlns="http://schemas.microsoft.com/office/spreadsheetml/2009/9/main" objectType="GBox" noThreeD="1"/>
</file>

<file path=xl/ctrlProps/ctrlProp311.xml><?xml version="1.0" encoding="utf-8"?>
<formControlPr xmlns="http://schemas.microsoft.com/office/spreadsheetml/2009/9/main" objectType="Radio" firstButton="1" lockText="1" noThreeD="1"/>
</file>

<file path=xl/ctrlProps/ctrlProp312.xml><?xml version="1.0" encoding="utf-8"?>
<formControlPr xmlns="http://schemas.microsoft.com/office/spreadsheetml/2009/9/main" objectType="Radio" lockText="1" noThreeD="1"/>
</file>

<file path=xl/ctrlProps/ctrlProp313.xml><?xml version="1.0" encoding="utf-8"?>
<formControlPr xmlns="http://schemas.microsoft.com/office/spreadsheetml/2009/9/main" objectType="GBox" noThreeD="1"/>
</file>

<file path=xl/ctrlProps/ctrlProp314.xml><?xml version="1.0" encoding="utf-8"?>
<formControlPr xmlns="http://schemas.microsoft.com/office/spreadsheetml/2009/9/main" objectType="GBox" noThreeD="1"/>
</file>

<file path=xl/ctrlProps/ctrlProp315.xml><?xml version="1.0" encoding="utf-8"?>
<formControlPr xmlns="http://schemas.microsoft.com/office/spreadsheetml/2009/9/main" objectType="Radio" firstButton="1" lockText="1" noThreeD="1"/>
</file>

<file path=xl/ctrlProps/ctrlProp316.xml><?xml version="1.0" encoding="utf-8"?>
<formControlPr xmlns="http://schemas.microsoft.com/office/spreadsheetml/2009/9/main" objectType="Radio" lockText="1" noThreeD="1"/>
</file>

<file path=xl/ctrlProps/ctrlProp317.xml><?xml version="1.0" encoding="utf-8"?>
<formControlPr xmlns="http://schemas.microsoft.com/office/spreadsheetml/2009/9/main" objectType="GBox" noThreeD="1"/>
</file>

<file path=xl/ctrlProps/ctrlProp318.xml><?xml version="1.0" encoding="utf-8"?>
<formControlPr xmlns="http://schemas.microsoft.com/office/spreadsheetml/2009/9/main" objectType="GBox"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GBox"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GBox" noThreeD="1"/>
</file>

<file path=xl/ctrlProps/ctrlProp322.xml><?xml version="1.0" encoding="utf-8"?>
<formControlPr xmlns="http://schemas.microsoft.com/office/spreadsheetml/2009/9/main" objectType="Radio" firstButton="1" lockText="1" noThreeD="1"/>
</file>

<file path=xl/ctrlProps/ctrlProp323.xml><?xml version="1.0" encoding="utf-8"?>
<formControlPr xmlns="http://schemas.microsoft.com/office/spreadsheetml/2009/9/main" objectType="Radio" lockText="1" noThreeD="1"/>
</file>

<file path=xl/ctrlProps/ctrlProp324.xml><?xml version="1.0" encoding="utf-8"?>
<formControlPr xmlns="http://schemas.microsoft.com/office/spreadsheetml/2009/9/main" objectType="GBox" noThreeD="1"/>
</file>

<file path=xl/ctrlProps/ctrlProp325.xml><?xml version="1.0" encoding="utf-8"?>
<formControlPr xmlns="http://schemas.microsoft.com/office/spreadsheetml/2009/9/main" objectType="GBox" noThreeD="1"/>
</file>

<file path=xl/ctrlProps/ctrlProp326.xml><?xml version="1.0" encoding="utf-8"?>
<formControlPr xmlns="http://schemas.microsoft.com/office/spreadsheetml/2009/9/main" objectType="Radio" lockText="1" noThreeD="1"/>
</file>

<file path=xl/ctrlProps/ctrlProp327.xml><?xml version="1.0" encoding="utf-8"?>
<formControlPr xmlns="http://schemas.microsoft.com/office/spreadsheetml/2009/9/main" objectType="Radio" lockText="1" noThreeD="1"/>
</file>

<file path=xl/ctrlProps/ctrlProp328.xml><?xml version="1.0" encoding="utf-8"?>
<formControlPr xmlns="http://schemas.microsoft.com/office/spreadsheetml/2009/9/main" objectType="GBox" noThreeD="1"/>
</file>

<file path=xl/ctrlProps/ctrlProp329.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30.xml><?xml version="1.0" encoding="utf-8"?>
<formControlPr xmlns="http://schemas.microsoft.com/office/spreadsheetml/2009/9/main" objectType="Radio" firstButton="1" lockText="1" noThreeD="1"/>
</file>

<file path=xl/ctrlProps/ctrlProp331.xml><?xml version="1.0" encoding="utf-8"?>
<formControlPr xmlns="http://schemas.microsoft.com/office/spreadsheetml/2009/9/main" objectType="Radio" lockText="1" noThreeD="1"/>
</file>

<file path=xl/ctrlProps/ctrlProp332.xml><?xml version="1.0" encoding="utf-8"?>
<formControlPr xmlns="http://schemas.microsoft.com/office/spreadsheetml/2009/9/main" objectType="Radio" lockText="1" noThreeD="1"/>
</file>

<file path=xl/ctrlProps/ctrlProp333.xml><?xml version="1.0" encoding="utf-8"?>
<formControlPr xmlns="http://schemas.microsoft.com/office/spreadsheetml/2009/9/main" objectType="GBox" noThreeD="1"/>
</file>

<file path=xl/ctrlProps/ctrlProp334.xml><?xml version="1.0" encoding="utf-8"?>
<formControlPr xmlns="http://schemas.microsoft.com/office/spreadsheetml/2009/9/main" objectType="GBox"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GBox" noThreeD="1"/>
</file>

<file path=xl/ctrlProps/ctrlProp340.xml><?xml version="1.0" encoding="utf-8"?>
<formControlPr xmlns="http://schemas.microsoft.com/office/spreadsheetml/2009/9/main" objectType="GBox" noThreeD="1"/>
</file>

<file path=xl/ctrlProps/ctrlProp341.xml><?xml version="1.0" encoding="utf-8"?>
<formControlPr xmlns="http://schemas.microsoft.com/office/spreadsheetml/2009/9/main" objectType="Radio" firstButton="1" lockText="1" noThreeD="1"/>
</file>

<file path=xl/ctrlProps/ctrlProp342.xml><?xml version="1.0" encoding="utf-8"?>
<formControlPr xmlns="http://schemas.microsoft.com/office/spreadsheetml/2009/9/main" objectType="Radio" lockText="1" noThreeD="1"/>
</file>

<file path=xl/ctrlProps/ctrlProp343.xml><?xml version="1.0" encoding="utf-8"?>
<formControlPr xmlns="http://schemas.microsoft.com/office/spreadsheetml/2009/9/main" objectType="GBox" noThreeD="1"/>
</file>

<file path=xl/ctrlProps/ctrlProp344.xml><?xml version="1.0" encoding="utf-8"?>
<formControlPr xmlns="http://schemas.microsoft.com/office/spreadsheetml/2009/9/main" objectType="GBox" noThreeD="1"/>
</file>

<file path=xl/ctrlProps/ctrlProp345.xml><?xml version="1.0" encoding="utf-8"?>
<formControlPr xmlns="http://schemas.microsoft.com/office/spreadsheetml/2009/9/main" objectType="Radio" firstButton="1" lockText="1" noThreeD="1"/>
</file>

<file path=xl/ctrlProps/ctrlProp346.xml><?xml version="1.0" encoding="utf-8"?>
<formControlPr xmlns="http://schemas.microsoft.com/office/spreadsheetml/2009/9/main" objectType="Radio" lockText="1" noThreeD="1"/>
</file>

<file path=xl/ctrlProps/ctrlProp347.xml><?xml version="1.0" encoding="utf-8"?>
<formControlPr xmlns="http://schemas.microsoft.com/office/spreadsheetml/2009/9/main" objectType="GBox"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GBox" noThreeD="1"/>
</file>

<file path=xl/ctrlProps/ctrlProp350.xml><?xml version="1.0" encoding="utf-8"?>
<formControlPr xmlns="http://schemas.microsoft.com/office/spreadsheetml/2009/9/main" objectType="Radio" firstButton="1" lockText="1" noThreeD="1"/>
</file>

<file path=xl/ctrlProps/ctrlProp351.xml><?xml version="1.0" encoding="utf-8"?>
<formControlPr xmlns="http://schemas.microsoft.com/office/spreadsheetml/2009/9/main" objectType="Radio" lockText="1" noThreeD="1"/>
</file>

<file path=xl/ctrlProps/ctrlProp352.xml><?xml version="1.0" encoding="utf-8"?>
<formControlPr xmlns="http://schemas.microsoft.com/office/spreadsheetml/2009/9/main" objectType="Radio"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Radio" firstButton="1" lockText="1" noThreeD="1"/>
</file>

<file path=xl/ctrlProps/ctrlProp355.xml><?xml version="1.0" encoding="utf-8"?>
<formControlPr xmlns="http://schemas.microsoft.com/office/spreadsheetml/2009/9/main" objectType="Radio" lockText="1" noThreeD="1"/>
</file>

<file path=xl/ctrlProps/ctrlProp356.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Radio" firstButton="1" lockText="1"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firstButton="1"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firstButton="1" lockText="1"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firstButton="1"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Radio" firstButton="1"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Radio" firstButton="1"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1.xml.rels><?xml version="1.0" encoding="UTF-8" standalone="yes"?>
<Relationships xmlns="http://schemas.openxmlformats.org/package/2006/relationships"><Relationship Id="rId8" Type="http://schemas.openxmlformats.org/officeDocument/2006/relationships/image" Target="../media/image23.png"/><Relationship Id="rId13" Type="http://schemas.microsoft.com/office/2007/relationships/hdphoto" Target="../media/hdphoto5.wdp"/><Relationship Id="rId3" Type="http://schemas.openxmlformats.org/officeDocument/2006/relationships/image" Target="../media/image20.png"/><Relationship Id="rId7" Type="http://schemas.microsoft.com/office/2007/relationships/hdphoto" Target="../media/hdphoto3.wdp"/><Relationship Id="rId12" Type="http://schemas.openxmlformats.org/officeDocument/2006/relationships/image" Target="../media/image26.png"/><Relationship Id="rId2" Type="http://schemas.microsoft.com/office/2007/relationships/hdphoto" Target="../media/hdphoto1.wdp"/><Relationship Id="rId1" Type="http://schemas.openxmlformats.org/officeDocument/2006/relationships/image" Target="../media/image19.png"/><Relationship Id="rId6" Type="http://schemas.openxmlformats.org/officeDocument/2006/relationships/image" Target="../media/image22.png"/><Relationship Id="rId11" Type="http://schemas.openxmlformats.org/officeDocument/2006/relationships/image" Target="../media/image25.jpeg"/><Relationship Id="rId5" Type="http://schemas.openxmlformats.org/officeDocument/2006/relationships/image" Target="../media/image21.jpeg"/><Relationship Id="rId10" Type="http://schemas.openxmlformats.org/officeDocument/2006/relationships/image" Target="../media/image24.png"/><Relationship Id="rId4" Type="http://schemas.microsoft.com/office/2007/relationships/hdphoto" Target="../media/hdphoto2.wdp"/><Relationship Id="rId9" Type="http://schemas.microsoft.com/office/2007/relationships/hdphoto" Target="../media/hdphoto4.wdp"/><Relationship Id="rId14"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8.png"/></Relationships>
</file>

<file path=xl/drawings/_rels/drawing14.xml.rels><?xml version="1.0" encoding="UTF-8" standalone="yes"?>
<Relationships xmlns="http://schemas.openxmlformats.org/package/2006/relationships"><Relationship Id="rId8" Type="http://schemas.openxmlformats.org/officeDocument/2006/relationships/image" Target="../media/image36.emf"/><Relationship Id="rId3" Type="http://schemas.openxmlformats.org/officeDocument/2006/relationships/image" Target="../media/image31.emf"/><Relationship Id="rId7" Type="http://schemas.openxmlformats.org/officeDocument/2006/relationships/image" Target="../media/image35.emf"/><Relationship Id="rId2" Type="http://schemas.openxmlformats.org/officeDocument/2006/relationships/image" Target="../media/image30.emf"/><Relationship Id="rId1" Type="http://schemas.openxmlformats.org/officeDocument/2006/relationships/image" Target="../media/image29.emf"/><Relationship Id="rId6" Type="http://schemas.openxmlformats.org/officeDocument/2006/relationships/image" Target="../media/image34.emf"/><Relationship Id="rId5" Type="http://schemas.openxmlformats.org/officeDocument/2006/relationships/image" Target="../media/image33.emf"/><Relationship Id="rId4" Type="http://schemas.openxmlformats.org/officeDocument/2006/relationships/image" Target="../media/image32.emf"/></Relationships>
</file>

<file path=xl/drawings/_rels/drawing15.xml.rels><?xml version="1.0" encoding="UTF-8" standalone="yes"?>
<Relationships xmlns="http://schemas.openxmlformats.org/package/2006/relationships"><Relationship Id="rId1" Type="http://schemas.openxmlformats.org/officeDocument/2006/relationships/image" Target="../media/image27.png"/></Relationships>
</file>

<file path=xl/drawings/_rels/drawing16.xml.rels><?xml version="1.0" encoding="UTF-8" standalone="yes"?>
<Relationships xmlns="http://schemas.openxmlformats.org/package/2006/relationships"><Relationship Id="rId1" Type="http://schemas.openxmlformats.org/officeDocument/2006/relationships/image" Target="../media/image43.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43.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43.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4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43.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43.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43.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43.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43.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6.xml.rels><?xml version="1.0" encoding="UTF-8" standalone="yes"?>
<Relationships xmlns="http://schemas.openxmlformats.org/package/2006/relationships"><Relationship Id="rId2" Type="http://schemas.openxmlformats.org/officeDocument/2006/relationships/image" Target="../media/image83.png"/><Relationship Id="rId1" Type="http://schemas.openxmlformats.org/officeDocument/2006/relationships/image" Target="../media/image27.png"/></Relationships>
</file>

<file path=xl/drawings/_rels/drawing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6.xml.rels><?xml version="1.0" encoding="UTF-8" standalone="yes"?>
<Relationships xmlns="http://schemas.openxmlformats.org/package/2006/relationships"><Relationship Id="rId1" Type="http://schemas.openxmlformats.org/officeDocument/2006/relationships/image" Target="../media/image1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8.xml.rels><?xml version="1.0" encoding="UTF-8" standalone="yes"?>
<Relationships xmlns="http://schemas.openxmlformats.org/package/2006/relationships"><Relationship Id="rId1" Type="http://schemas.openxmlformats.org/officeDocument/2006/relationships/image" Target="../media/image1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image" Target="../media/image7.emf"/><Relationship Id="rId7" Type="http://schemas.openxmlformats.org/officeDocument/2006/relationships/image" Target="../media/image3.emf"/><Relationship Id="rId2" Type="http://schemas.openxmlformats.org/officeDocument/2006/relationships/image" Target="../media/image8.emf"/><Relationship Id="rId1" Type="http://schemas.openxmlformats.org/officeDocument/2006/relationships/image" Target="../media/image9.emf"/><Relationship Id="rId6" Type="http://schemas.openxmlformats.org/officeDocument/2006/relationships/image" Target="../media/image4.emf"/><Relationship Id="rId5" Type="http://schemas.openxmlformats.org/officeDocument/2006/relationships/image" Target="../media/image5.emf"/><Relationship Id="rId10" Type="http://schemas.openxmlformats.org/officeDocument/2006/relationships/image" Target="../media/image11.emf"/><Relationship Id="rId4" Type="http://schemas.openxmlformats.org/officeDocument/2006/relationships/image" Target="../media/image6.emf"/><Relationship Id="rId9"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3" Type="http://schemas.openxmlformats.org/officeDocument/2006/relationships/image" Target="../media/image40.emf"/><Relationship Id="rId2" Type="http://schemas.openxmlformats.org/officeDocument/2006/relationships/image" Target="../media/image41.emf"/><Relationship Id="rId1" Type="http://schemas.openxmlformats.org/officeDocument/2006/relationships/image" Target="../media/image42.emf"/><Relationship Id="rId5" Type="http://schemas.openxmlformats.org/officeDocument/2006/relationships/image" Target="../media/image38.emf"/><Relationship Id="rId4" Type="http://schemas.openxmlformats.org/officeDocument/2006/relationships/image" Target="../media/image39.emf"/></Relationships>
</file>

<file path=xl/drawings/_rels/vmlDrawing11.vml.rels><?xml version="1.0" encoding="UTF-8" standalone="yes"?>
<Relationships xmlns="http://schemas.openxmlformats.org/package/2006/relationships"><Relationship Id="rId3" Type="http://schemas.openxmlformats.org/officeDocument/2006/relationships/image" Target="../media/image46.emf"/><Relationship Id="rId2" Type="http://schemas.openxmlformats.org/officeDocument/2006/relationships/image" Target="../media/image47.emf"/><Relationship Id="rId1" Type="http://schemas.openxmlformats.org/officeDocument/2006/relationships/image" Target="../media/image48.emf"/><Relationship Id="rId5" Type="http://schemas.openxmlformats.org/officeDocument/2006/relationships/image" Target="../media/image44.emf"/><Relationship Id="rId4" Type="http://schemas.openxmlformats.org/officeDocument/2006/relationships/image" Target="../media/image45.emf"/></Relationships>
</file>

<file path=xl/drawings/_rels/vmlDrawing12.vml.rels><?xml version="1.0" encoding="UTF-8" standalone="yes"?>
<Relationships xmlns="http://schemas.openxmlformats.org/package/2006/relationships"><Relationship Id="rId3" Type="http://schemas.openxmlformats.org/officeDocument/2006/relationships/image" Target="../media/image51.emf"/><Relationship Id="rId2" Type="http://schemas.openxmlformats.org/officeDocument/2006/relationships/image" Target="../media/image52.emf"/><Relationship Id="rId1" Type="http://schemas.openxmlformats.org/officeDocument/2006/relationships/image" Target="../media/image53.emf"/><Relationship Id="rId5" Type="http://schemas.openxmlformats.org/officeDocument/2006/relationships/image" Target="../media/image49.emf"/><Relationship Id="rId4" Type="http://schemas.openxmlformats.org/officeDocument/2006/relationships/image" Target="../media/image50.emf"/></Relationships>
</file>

<file path=xl/drawings/_rels/vmlDrawing13.vml.rels><?xml version="1.0" encoding="UTF-8" standalone="yes"?>
<Relationships xmlns="http://schemas.openxmlformats.org/package/2006/relationships"><Relationship Id="rId3" Type="http://schemas.openxmlformats.org/officeDocument/2006/relationships/image" Target="../media/image56.emf"/><Relationship Id="rId2" Type="http://schemas.openxmlformats.org/officeDocument/2006/relationships/image" Target="../media/image57.emf"/><Relationship Id="rId1" Type="http://schemas.openxmlformats.org/officeDocument/2006/relationships/image" Target="../media/image58.emf"/><Relationship Id="rId5" Type="http://schemas.openxmlformats.org/officeDocument/2006/relationships/image" Target="../media/image54.emf"/><Relationship Id="rId4" Type="http://schemas.openxmlformats.org/officeDocument/2006/relationships/image" Target="../media/image55.emf"/></Relationships>
</file>

<file path=xl/drawings/_rels/vmlDrawing14.vml.rels><?xml version="1.0" encoding="UTF-8" standalone="yes"?>
<Relationships xmlns="http://schemas.openxmlformats.org/package/2006/relationships"><Relationship Id="rId3" Type="http://schemas.openxmlformats.org/officeDocument/2006/relationships/image" Target="../media/image61.emf"/><Relationship Id="rId2" Type="http://schemas.openxmlformats.org/officeDocument/2006/relationships/image" Target="../media/image62.emf"/><Relationship Id="rId1" Type="http://schemas.openxmlformats.org/officeDocument/2006/relationships/image" Target="../media/image63.emf"/><Relationship Id="rId5" Type="http://schemas.openxmlformats.org/officeDocument/2006/relationships/image" Target="../media/image59.emf"/><Relationship Id="rId4" Type="http://schemas.openxmlformats.org/officeDocument/2006/relationships/image" Target="../media/image60.emf"/></Relationships>
</file>

<file path=xl/drawings/_rels/vmlDrawing15.vml.rels><?xml version="1.0" encoding="UTF-8" standalone="yes"?>
<Relationships xmlns="http://schemas.openxmlformats.org/package/2006/relationships"><Relationship Id="rId3" Type="http://schemas.openxmlformats.org/officeDocument/2006/relationships/image" Target="../media/image66.emf"/><Relationship Id="rId2" Type="http://schemas.openxmlformats.org/officeDocument/2006/relationships/image" Target="../media/image67.emf"/><Relationship Id="rId1" Type="http://schemas.openxmlformats.org/officeDocument/2006/relationships/image" Target="../media/image68.emf"/><Relationship Id="rId5" Type="http://schemas.openxmlformats.org/officeDocument/2006/relationships/image" Target="../media/image64.emf"/><Relationship Id="rId4" Type="http://schemas.openxmlformats.org/officeDocument/2006/relationships/image" Target="../media/image65.emf"/></Relationships>
</file>

<file path=xl/drawings/_rels/vmlDrawing16.vml.rels><?xml version="1.0" encoding="UTF-8" standalone="yes"?>
<Relationships xmlns="http://schemas.openxmlformats.org/package/2006/relationships"><Relationship Id="rId3" Type="http://schemas.openxmlformats.org/officeDocument/2006/relationships/image" Target="../media/image71.emf"/><Relationship Id="rId2" Type="http://schemas.openxmlformats.org/officeDocument/2006/relationships/image" Target="../media/image72.emf"/><Relationship Id="rId1" Type="http://schemas.openxmlformats.org/officeDocument/2006/relationships/image" Target="../media/image73.emf"/><Relationship Id="rId5" Type="http://schemas.openxmlformats.org/officeDocument/2006/relationships/image" Target="../media/image69.emf"/><Relationship Id="rId4" Type="http://schemas.openxmlformats.org/officeDocument/2006/relationships/image" Target="../media/image70.emf"/></Relationships>
</file>

<file path=xl/drawings/_rels/vmlDrawing17.vml.rels><?xml version="1.0" encoding="UTF-8" standalone="yes"?>
<Relationships xmlns="http://schemas.openxmlformats.org/package/2006/relationships"><Relationship Id="rId3" Type="http://schemas.openxmlformats.org/officeDocument/2006/relationships/image" Target="../media/image76.emf"/><Relationship Id="rId2" Type="http://schemas.openxmlformats.org/officeDocument/2006/relationships/image" Target="../media/image77.emf"/><Relationship Id="rId1" Type="http://schemas.openxmlformats.org/officeDocument/2006/relationships/image" Target="../media/image78.emf"/><Relationship Id="rId5" Type="http://schemas.openxmlformats.org/officeDocument/2006/relationships/image" Target="../media/image74.emf"/><Relationship Id="rId4" Type="http://schemas.openxmlformats.org/officeDocument/2006/relationships/image" Target="../media/image75.emf"/></Relationships>
</file>

<file path=xl/drawings/_rels/vmlDrawing18.vml.rels><?xml version="1.0" encoding="UTF-8" standalone="yes"?>
<Relationships xmlns="http://schemas.openxmlformats.org/package/2006/relationships"><Relationship Id="rId3" Type="http://schemas.openxmlformats.org/officeDocument/2006/relationships/image" Target="../media/image80.emf"/><Relationship Id="rId2" Type="http://schemas.openxmlformats.org/officeDocument/2006/relationships/image" Target="../media/image81.emf"/><Relationship Id="rId1" Type="http://schemas.openxmlformats.org/officeDocument/2006/relationships/image" Target="../media/image82.emf"/><Relationship Id="rId4" Type="http://schemas.openxmlformats.org/officeDocument/2006/relationships/image" Target="../media/image79.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15.emf"/><Relationship Id="rId1" Type="http://schemas.openxmlformats.org/officeDocument/2006/relationships/image" Target="../media/image16.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3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107950</xdr:colOff>
          <xdr:row>14</xdr:row>
          <xdr:rowOff>0</xdr:rowOff>
        </xdr:from>
        <xdr:to>
          <xdr:col>4</xdr:col>
          <xdr:colOff>1079500</xdr:colOff>
          <xdr:row>15</xdr:row>
          <xdr:rowOff>69850</xdr:rowOff>
        </xdr:to>
        <xdr:sp macro="" textlink="">
          <xdr:nvSpPr>
            <xdr:cNvPr id="81921" name="CheckBox1" hidden="1">
              <a:extLst>
                <a:ext uri="{63B3BB69-23CF-44E3-9099-C40C66FF867C}">
                  <a14:compatExt spid="_x0000_s81921"/>
                </a:ext>
                <a:ext uri="{FF2B5EF4-FFF2-40B4-BE49-F238E27FC236}">
                  <a16:creationId xmlns:a16="http://schemas.microsoft.com/office/drawing/2014/main" id="{00000000-0008-0000-0000-0000014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15</xdr:row>
          <xdr:rowOff>69850</xdr:rowOff>
        </xdr:from>
        <xdr:to>
          <xdr:col>4</xdr:col>
          <xdr:colOff>1079500</xdr:colOff>
          <xdr:row>16</xdr:row>
          <xdr:rowOff>139700</xdr:rowOff>
        </xdr:to>
        <xdr:sp macro="" textlink="">
          <xdr:nvSpPr>
            <xdr:cNvPr id="81922" name="CheckBox2" hidden="1">
              <a:extLst>
                <a:ext uri="{63B3BB69-23CF-44E3-9099-C40C66FF867C}">
                  <a14:compatExt spid="_x0000_s81922"/>
                </a:ext>
                <a:ext uri="{FF2B5EF4-FFF2-40B4-BE49-F238E27FC236}">
                  <a16:creationId xmlns:a16="http://schemas.microsoft.com/office/drawing/2014/main" id="{00000000-0008-0000-0000-0000024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22</xdr:row>
          <xdr:rowOff>38100</xdr:rowOff>
        </xdr:from>
        <xdr:to>
          <xdr:col>6</xdr:col>
          <xdr:colOff>628650</xdr:colOff>
          <xdr:row>23</xdr:row>
          <xdr:rowOff>107950</xdr:rowOff>
        </xdr:to>
        <xdr:sp macro="" textlink="">
          <xdr:nvSpPr>
            <xdr:cNvPr id="81923" name="CheckBox3" hidden="1">
              <a:extLst>
                <a:ext uri="{63B3BB69-23CF-44E3-9099-C40C66FF867C}">
                  <a14:compatExt spid="_x0000_s81923"/>
                </a:ext>
                <a:ext uri="{FF2B5EF4-FFF2-40B4-BE49-F238E27FC236}">
                  <a16:creationId xmlns:a16="http://schemas.microsoft.com/office/drawing/2014/main" id="{00000000-0008-0000-0000-0000034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90</xdr:row>
          <xdr:rowOff>0</xdr:rowOff>
        </xdr:from>
        <xdr:to>
          <xdr:col>5</xdr:col>
          <xdr:colOff>704850</xdr:colOff>
          <xdr:row>91</xdr:row>
          <xdr:rowOff>19050</xdr:rowOff>
        </xdr:to>
        <xdr:sp macro="" textlink="">
          <xdr:nvSpPr>
            <xdr:cNvPr id="81924" name="CheckBox4" hidden="1">
              <a:extLst>
                <a:ext uri="{63B3BB69-23CF-44E3-9099-C40C66FF867C}">
                  <a14:compatExt spid="_x0000_s81924"/>
                </a:ext>
                <a:ext uri="{FF2B5EF4-FFF2-40B4-BE49-F238E27FC236}">
                  <a16:creationId xmlns:a16="http://schemas.microsoft.com/office/drawing/2014/main" id="{00000000-0008-0000-0000-0000044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90</xdr:row>
          <xdr:rowOff>0</xdr:rowOff>
        </xdr:from>
        <xdr:to>
          <xdr:col>7</xdr:col>
          <xdr:colOff>819150</xdr:colOff>
          <xdr:row>91</xdr:row>
          <xdr:rowOff>19050</xdr:rowOff>
        </xdr:to>
        <xdr:sp macro="" textlink="">
          <xdr:nvSpPr>
            <xdr:cNvPr id="81925" name="CheckBox5" hidden="1">
              <a:extLst>
                <a:ext uri="{63B3BB69-23CF-44E3-9099-C40C66FF867C}">
                  <a14:compatExt spid="_x0000_s81925"/>
                </a:ext>
                <a:ext uri="{FF2B5EF4-FFF2-40B4-BE49-F238E27FC236}">
                  <a16:creationId xmlns:a16="http://schemas.microsoft.com/office/drawing/2014/main" id="{00000000-0008-0000-0000-0000054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641350</xdr:colOff>
          <xdr:row>90</xdr:row>
          <xdr:rowOff>0</xdr:rowOff>
        </xdr:from>
        <xdr:to>
          <xdr:col>8</xdr:col>
          <xdr:colOff>558800</xdr:colOff>
          <xdr:row>91</xdr:row>
          <xdr:rowOff>19050</xdr:rowOff>
        </xdr:to>
        <xdr:sp macro="" textlink="">
          <xdr:nvSpPr>
            <xdr:cNvPr id="81926" name="CheckBox6" hidden="1">
              <a:extLst>
                <a:ext uri="{63B3BB69-23CF-44E3-9099-C40C66FF867C}">
                  <a14:compatExt spid="_x0000_s81926"/>
                </a:ext>
                <a:ext uri="{FF2B5EF4-FFF2-40B4-BE49-F238E27FC236}">
                  <a16:creationId xmlns:a16="http://schemas.microsoft.com/office/drawing/2014/main" id="{00000000-0008-0000-0000-0000064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104</xdr:row>
          <xdr:rowOff>0</xdr:rowOff>
        </xdr:from>
        <xdr:to>
          <xdr:col>5</xdr:col>
          <xdr:colOff>704850</xdr:colOff>
          <xdr:row>104</xdr:row>
          <xdr:rowOff>247650</xdr:rowOff>
        </xdr:to>
        <xdr:sp macro="" textlink="">
          <xdr:nvSpPr>
            <xdr:cNvPr id="81927" name="CheckBox7" hidden="1">
              <a:extLst>
                <a:ext uri="{63B3BB69-23CF-44E3-9099-C40C66FF867C}">
                  <a14:compatExt spid="_x0000_s81927"/>
                </a:ext>
                <a:ext uri="{FF2B5EF4-FFF2-40B4-BE49-F238E27FC236}">
                  <a16:creationId xmlns:a16="http://schemas.microsoft.com/office/drawing/2014/main" id="{00000000-0008-0000-0000-0000074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104</xdr:row>
          <xdr:rowOff>0</xdr:rowOff>
        </xdr:from>
        <xdr:to>
          <xdr:col>7</xdr:col>
          <xdr:colOff>819150</xdr:colOff>
          <xdr:row>104</xdr:row>
          <xdr:rowOff>247650</xdr:rowOff>
        </xdr:to>
        <xdr:sp macro="" textlink="">
          <xdr:nvSpPr>
            <xdr:cNvPr id="81928" name="CheckBox8" hidden="1">
              <a:extLst>
                <a:ext uri="{63B3BB69-23CF-44E3-9099-C40C66FF867C}">
                  <a14:compatExt spid="_x0000_s81928"/>
                </a:ext>
                <a:ext uri="{FF2B5EF4-FFF2-40B4-BE49-F238E27FC236}">
                  <a16:creationId xmlns:a16="http://schemas.microsoft.com/office/drawing/2014/main" id="{00000000-0008-0000-0000-0000084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641350</xdr:colOff>
          <xdr:row>104</xdr:row>
          <xdr:rowOff>0</xdr:rowOff>
        </xdr:from>
        <xdr:to>
          <xdr:col>8</xdr:col>
          <xdr:colOff>558800</xdr:colOff>
          <xdr:row>104</xdr:row>
          <xdr:rowOff>247650</xdr:rowOff>
        </xdr:to>
        <xdr:sp macro="" textlink="">
          <xdr:nvSpPr>
            <xdr:cNvPr id="81929" name="CheckBox9" hidden="1">
              <a:extLst>
                <a:ext uri="{63B3BB69-23CF-44E3-9099-C40C66FF867C}">
                  <a14:compatExt spid="_x0000_s81929"/>
                </a:ext>
                <a:ext uri="{FF2B5EF4-FFF2-40B4-BE49-F238E27FC236}">
                  <a16:creationId xmlns:a16="http://schemas.microsoft.com/office/drawing/2014/main" id="{00000000-0008-0000-0000-0000094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26</xdr:row>
          <xdr:rowOff>171450</xdr:rowOff>
        </xdr:from>
        <xdr:to>
          <xdr:col>8</xdr:col>
          <xdr:colOff>469900</xdr:colOff>
          <xdr:row>37</xdr:row>
          <xdr:rowOff>139700</xdr:rowOff>
        </xdr:to>
        <xdr:pic>
          <xdr:nvPicPr>
            <xdr:cNvPr id="82558" name="Picture 11">
              <a:extLst>
                <a:ext uri="{FF2B5EF4-FFF2-40B4-BE49-F238E27FC236}">
                  <a16:creationId xmlns:a16="http://schemas.microsoft.com/office/drawing/2014/main" id="{00000000-0008-0000-0000-00007E420100}"/>
                </a:ext>
              </a:extLst>
            </xdr:cNvPr>
            <xdr:cNvPicPr>
              <a:picLocks noChangeAspect="1" noChangeArrowheads="1"/>
              <a:extLst>
                <a:ext uri="{84589F7E-364E-4C9E-8A38-B11213B215E9}">
                  <a14:cameraTool cellRange="#REF!" spid="_x0000_s208296"/>
                </a:ext>
              </a:extLst>
            </xdr:cNvPicPr>
          </xdr:nvPicPr>
          <xdr:blipFill>
            <a:blip xmlns:r="http://schemas.openxmlformats.org/officeDocument/2006/relationships" r:embed="rId1"/>
            <a:srcRect/>
            <a:stretch>
              <a:fillRect/>
            </a:stretch>
          </xdr:blipFill>
          <xdr:spPr bwMode="auto">
            <a:xfrm>
              <a:off x="1111250" y="6388100"/>
              <a:ext cx="6750050" cy="19240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10.xml><?xml version="1.0" encoding="utf-8"?>
<xdr:wsDr xmlns:xdr="http://schemas.openxmlformats.org/drawingml/2006/spreadsheetDrawing" xmlns:a="http://schemas.openxmlformats.org/drawingml/2006/main">
  <xdr:oneCellAnchor>
    <xdr:from>
      <xdr:col>9</xdr:col>
      <xdr:colOff>298450</xdr:colOff>
      <xdr:row>0</xdr:row>
      <xdr:rowOff>260350</xdr:rowOff>
    </xdr:from>
    <xdr:ext cx="2243282" cy="516659"/>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94325" y="193675"/>
          <a:ext cx="2243282" cy="516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3</xdr:col>
          <xdr:colOff>146050</xdr:colOff>
          <xdr:row>21</xdr:row>
          <xdr:rowOff>0</xdr:rowOff>
        </xdr:from>
        <xdr:to>
          <xdr:col>3</xdr:col>
          <xdr:colOff>774700</xdr:colOff>
          <xdr:row>21</xdr:row>
          <xdr:rowOff>209550</xdr:rowOff>
        </xdr:to>
        <xdr:sp macro="" textlink="">
          <xdr:nvSpPr>
            <xdr:cNvPr id="187393" name="Option Button 1" hidden="1">
              <a:extLst>
                <a:ext uri="{63B3BB69-23CF-44E3-9099-C40C66FF867C}">
                  <a14:compatExt spid="_x0000_s187393"/>
                </a:ext>
                <a:ext uri="{FF2B5EF4-FFF2-40B4-BE49-F238E27FC236}">
                  <a16:creationId xmlns:a16="http://schemas.microsoft.com/office/drawing/2014/main" id="{00000000-0008-0000-0900-000001D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1098550</xdr:colOff>
          <xdr:row>21</xdr:row>
          <xdr:rowOff>0</xdr:rowOff>
        </xdr:from>
        <xdr:to>
          <xdr:col>4</xdr:col>
          <xdr:colOff>342900</xdr:colOff>
          <xdr:row>21</xdr:row>
          <xdr:rowOff>209550</xdr:rowOff>
        </xdr:to>
        <xdr:sp macro="" textlink="">
          <xdr:nvSpPr>
            <xdr:cNvPr id="187394" name="Option Button 2" hidden="1">
              <a:extLst>
                <a:ext uri="{63B3BB69-23CF-44E3-9099-C40C66FF867C}">
                  <a14:compatExt spid="_x0000_s187394"/>
                </a:ext>
                <a:ext uri="{FF2B5EF4-FFF2-40B4-BE49-F238E27FC236}">
                  <a16:creationId xmlns:a16="http://schemas.microsoft.com/office/drawing/2014/main" id="{00000000-0008-0000-0900-000002D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32</xdr:row>
          <xdr:rowOff>12700</xdr:rowOff>
        </xdr:from>
        <xdr:to>
          <xdr:col>6</xdr:col>
          <xdr:colOff>527050</xdr:colOff>
          <xdr:row>33</xdr:row>
          <xdr:rowOff>0</xdr:rowOff>
        </xdr:to>
        <xdr:sp macro="" textlink="">
          <xdr:nvSpPr>
            <xdr:cNvPr id="187395" name="Group Box 3" hidden="1">
              <a:extLst>
                <a:ext uri="{63B3BB69-23CF-44E3-9099-C40C66FF867C}">
                  <a14:compatExt spid="_x0000_s187395"/>
                </a:ext>
                <a:ext uri="{FF2B5EF4-FFF2-40B4-BE49-F238E27FC236}">
                  <a16:creationId xmlns:a16="http://schemas.microsoft.com/office/drawing/2014/main" id="{00000000-0008-0000-0900-000003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33</xdr:row>
          <xdr:rowOff>57150</xdr:rowOff>
        </xdr:from>
        <xdr:to>
          <xdr:col>6</xdr:col>
          <xdr:colOff>527050</xdr:colOff>
          <xdr:row>34</xdr:row>
          <xdr:rowOff>12700</xdr:rowOff>
        </xdr:to>
        <xdr:sp macro="" textlink="">
          <xdr:nvSpPr>
            <xdr:cNvPr id="187396" name="Group Box 4" hidden="1">
              <a:extLst>
                <a:ext uri="{63B3BB69-23CF-44E3-9099-C40C66FF867C}">
                  <a14:compatExt spid="_x0000_s187396"/>
                </a:ext>
                <a:ext uri="{FF2B5EF4-FFF2-40B4-BE49-F238E27FC236}">
                  <a16:creationId xmlns:a16="http://schemas.microsoft.com/office/drawing/2014/main" id="{00000000-0008-0000-0900-000004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34</xdr:row>
          <xdr:rowOff>88900</xdr:rowOff>
        </xdr:from>
        <xdr:to>
          <xdr:col>6</xdr:col>
          <xdr:colOff>527050</xdr:colOff>
          <xdr:row>35</xdr:row>
          <xdr:rowOff>12700</xdr:rowOff>
        </xdr:to>
        <xdr:sp macro="" textlink="">
          <xdr:nvSpPr>
            <xdr:cNvPr id="187397" name="Group Box 5" hidden="1">
              <a:extLst>
                <a:ext uri="{63B3BB69-23CF-44E3-9099-C40C66FF867C}">
                  <a14:compatExt spid="_x0000_s187397"/>
                </a:ext>
                <a:ext uri="{FF2B5EF4-FFF2-40B4-BE49-F238E27FC236}">
                  <a16:creationId xmlns:a16="http://schemas.microsoft.com/office/drawing/2014/main" id="{00000000-0008-0000-0900-000005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374650</xdr:colOff>
          <xdr:row>32</xdr:row>
          <xdr:rowOff>12700</xdr:rowOff>
        </xdr:from>
        <xdr:to>
          <xdr:col>13</xdr:col>
          <xdr:colOff>12700</xdr:colOff>
          <xdr:row>33</xdr:row>
          <xdr:rowOff>12700</xdr:rowOff>
        </xdr:to>
        <xdr:sp macro="" textlink="">
          <xdr:nvSpPr>
            <xdr:cNvPr id="187398" name="Group Box 6" hidden="1">
              <a:extLst>
                <a:ext uri="{63B3BB69-23CF-44E3-9099-C40C66FF867C}">
                  <a14:compatExt spid="_x0000_s187398"/>
                </a:ext>
                <a:ext uri="{FF2B5EF4-FFF2-40B4-BE49-F238E27FC236}">
                  <a16:creationId xmlns:a16="http://schemas.microsoft.com/office/drawing/2014/main" id="{00000000-0008-0000-0900-000006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374650</xdr:colOff>
          <xdr:row>33</xdr:row>
          <xdr:rowOff>88900</xdr:rowOff>
        </xdr:from>
        <xdr:to>
          <xdr:col>13</xdr:col>
          <xdr:colOff>12700</xdr:colOff>
          <xdr:row>34</xdr:row>
          <xdr:rowOff>31750</xdr:rowOff>
        </xdr:to>
        <xdr:sp macro="" textlink="">
          <xdr:nvSpPr>
            <xdr:cNvPr id="187399" name="Group Box 7" hidden="1">
              <a:extLst>
                <a:ext uri="{63B3BB69-23CF-44E3-9099-C40C66FF867C}">
                  <a14:compatExt spid="_x0000_s187399"/>
                </a:ext>
                <a:ext uri="{FF2B5EF4-FFF2-40B4-BE49-F238E27FC236}">
                  <a16:creationId xmlns:a16="http://schemas.microsoft.com/office/drawing/2014/main" id="{00000000-0008-0000-0900-000007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374650</xdr:colOff>
          <xdr:row>34</xdr:row>
          <xdr:rowOff>88900</xdr:rowOff>
        </xdr:from>
        <xdr:to>
          <xdr:col>13</xdr:col>
          <xdr:colOff>38100</xdr:colOff>
          <xdr:row>35</xdr:row>
          <xdr:rowOff>57150</xdr:rowOff>
        </xdr:to>
        <xdr:sp macro="" textlink="">
          <xdr:nvSpPr>
            <xdr:cNvPr id="187400" name="Group Box 8" hidden="1">
              <a:extLst>
                <a:ext uri="{63B3BB69-23CF-44E3-9099-C40C66FF867C}">
                  <a14:compatExt spid="_x0000_s187400"/>
                </a:ext>
                <a:ext uri="{FF2B5EF4-FFF2-40B4-BE49-F238E27FC236}">
                  <a16:creationId xmlns:a16="http://schemas.microsoft.com/office/drawing/2014/main" id="{00000000-0008-0000-0900-000008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48</xdr:row>
          <xdr:rowOff>12700</xdr:rowOff>
        </xdr:from>
        <xdr:to>
          <xdr:col>6</xdr:col>
          <xdr:colOff>527050</xdr:colOff>
          <xdr:row>49</xdr:row>
          <xdr:rowOff>0</xdr:rowOff>
        </xdr:to>
        <xdr:sp macro="" textlink="">
          <xdr:nvSpPr>
            <xdr:cNvPr id="187401" name="Group Box 9" hidden="1">
              <a:extLst>
                <a:ext uri="{63B3BB69-23CF-44E3-9099-C40C66FF867C}">
                  <a14:compatExt spid="_x0000_s187401"/>
                </a:ext>
                <a:ext uri="{FF2B5EF4-FFF2-40B4-BE49-F238E27FC236}">
                  <a16:creationId xmlns:a16="http://schemas.microsoft.com/office/drawing/2014/main" id="{00000000-0008-0000-0900-000009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49</xdr:row>
          <xdr:rowOff>57150</xdr:rowOff>
        </xdr:from>
        <xdr:to>
          <xdr:col>6</xdr:col>
          <xdr:colOff>527050</xdr:colOff>
          <xdr:row>50</xdr:row>
          <xdr:rowOff>12700</xdr:rowOff>
        </xdr:to>
        <xdr:sp macro="" textlink="">
          <xdr:nvSpPr>
            <xdr:cNvPr id="187402" name="Group Box 10" hidden="1">
              <a:extLst>
                <a:ext uri="{63B3BB69-23CF-44E3-9099-C40C66FF867C}">
                  <a14:compatExt spid="_x0000_s187402"/>
                </a:ext>
                <a:ext uri="{FF2B5EF4-FFF2-40B4-BE49-F238E27FC236}">
                  <a16:creationId xmlns:a16="http://schemas.microsoft.com/office/drawing/2014/main" id="{00000000-0008-0000-0900-00000A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50</xdr:row>
          <xdr:rowOff>88900</xdr:rowOff>
        </xdr:from>
        <xdr:to>
          <xdr:col>6</xdr:col>
          <xdr:colOff>527050</xdr:colOff>
          <xdr:row>51</xdr:row>
          <xdr:rowOff>19050</xdr:rowOff>
        </xdr:to>
        <xdr:sp macro="" textlink="">
          <xdr:nvSpPr>
            <xdr:cNvPr id="187403" name="Group Box 11" hidden="1">
              <a:extLst>
                <a:ext uri="{63B3BB69-23CF-44E3-9099-C40C66FF867C}">
                  <a14:compatExt spid="_x0000_s187403"/>
                </a:ext>
                <a:ext uri="{FF2B5EF4-FFF2-40B4-BE49-F238E27FC236}">
                  <a16:creationId xmlns:a16="http://schemas.microsoft.com/office/drawing/2014/main" id="{00000000-0008-0000-0900-00000B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374650</xdr:colOff>
          <xdr:row>48</xdr:row>
          <xdr:rowOff>12700</xdr:rowOff>
        </xdr:from>
        <xdr:to>
          <xdr:col>13</xdr:col>
          <xdr:colOff>12700</xdr:colOff>
          <xdr:row>49</xdr:row>
          <xdr:rowOff>12700</xdr:rowOff>
        </xdr:to>
        <xdr:sp macro="" textlink="">
          <xdr:nvSpPr>
            <xdr:cNvPr id="187404" name="Group Box 12" hidden="1">
              <a:extLst>
                <a:ext uri="{63B3BB69-23CF-44E3-9099-C40C66FF867C}">
                  <a14:compatExt spid="_x0000_s187404"/>
                </a:ext>
                <a:ext uri="{FF2B5EF4-FFF2-40B4-BE49-F238E27FC236}">
                  <a16:creationId xmlns:a16="http://schemas.microsoft.com/office/drawing/2014/main" id="{00000000-0008-0000-0900-00000C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374650</xdr:colOff>
          <xdr:row>49</xdr:row>
          <xdr:rowOff>88900</xdr:rowOff>
        </xdr:from>
        <xdr:to>
          <xdr:col>13</xdr:col>
          <xdr:colOff>12700</xdr:colOff>
          <xdr:row>50</xdr:row>
          <xdr:rowOff>31750</xdr:rowOff>
        </xdr:to>
        <xdr:sp macro="" textlink="">
          <xdr:nvSpPr>
            <xdr:cNvPr id="187405" name="Group Box 13" hidden="1">
              <a:extLst>
                <a:ext uri="{63B3BB69-23CF-44E3-9099-C40C66FF867C}">
                  <a14:compatExt spid="_x0000_s187405"/>
                </a:ext>
                <a:ext uri="{FF2B5EF4-FFF2-40B4-BE49-F238E27FC236}">
                  <a16:creationId xmlns:a16="http://schemas.microsoft.com/office/drawing/2014/main" id="{00000000-0008-0000-0900-00000D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374650</xdr:colOff>
          <xdr:row>50</xdr:row>
          <xdr:rowOff>88900</xdr:rowOff>
        </xdr:from>
        <xdr:to>
          <xdr:col>13</xdr:col>
          <xdr:colOff>38100</xdr:colOff>
          <xdr:row>51</xdr:row>
          <xdr:rowOff>38100</xdr:rowOff>
        </xdr:to>
        <xdr:sp macro="" textlink="">
          <xdr:nvSpPr>
            <xdr:cNvPr id="187406" name="Group Box 14" hidden="1">
              <a:extLst>
                <a:ext uri="{63B3BB69-23CF-44E3-9099-C40C66FF867C}">
                  <a14:compatExt spid="_x0000_s187406"/>
                </a:ext>
                <a:ext uri="{FF2B5EF4-FFF2-40B4-BE49-F238E27FC236}">
                  <a16:creationId xmlns:a16="http://schemas.microsoft.com/office/drawing/2014/main" id="{00000000-0008-0000-0900-00000E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65</xdr:row>
          <xdr:rowOff>12700</xdr:rowOff>
        </xdr:from>
        <xdr:to>
          <xdr:col>6</xdr:col>
          <xdr:colOff>527050</xdr:colOff>
          <xdr:row>66</xdr:row>
          <xdr:rowOff>0</xdr:rowOff>
        </xdr:to>
        <xdr:sp macro="" textlink="">
          <xdr:nvSpPr>
            <xdr:cNvPr id="187407" name="Group Box 15" hidden="1">
              <a:extLst>
                <a:ext uri="{63B3BB69-23CF-44E3-9099-C40C66FF867C}">
                  <a14:compatExt spid="_x0000_s187407"/>
                </a:ext>
                <a:ext uri="{FF2B5EF4-FFF2-40B4-BE49-F238E27FC236}">
                  <a16:creationId xmlns:a16="http://schemas.microsoft.com/office/drawing/2014/main" id="{00000000-0008-0000-0900-00000F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66</xdr:row>
          <xdr:rowOff>57150</xdr:rowOff>
        </xdr:from>
        <xdr:to>
          <xdr:col>6</xdr:col>
          <xdr:colOff>527050</xdr:colOff>
          <xdr:row>67</xdr:row>
          <xdr:rowOff>12700</xdr:rowOff>
        </xdr:to>
        <xdr:sp macro="" textlink="">
          <xdr:nvSpPr>
            <xdr:cNvPr id="187408" name="Group Box 16" hidden="1">
              <a:extLst>
                <a:ext uri="{63B3BB69-23CF-44E3-9099-C40C66FF867C}">
                  <a14:compatExt spid="_x0000_s187408"/>
                </a:ext>
                <a:ext uri="{FF2B5EF4-FFF2-40B4-BE49-F238E27FC236}">
                  <a16:creationId xmlns:a16="http://schemas.microsoft.com/office/drawing/2014/main" id="{00000000-0008-0000-0900-000010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67</xdr:row>
          <xdr:rowOff>88900</xdr:rowOff>
        </xdr:from>
        <xdr:to>
          <xdr:col>6</xdr:col>
          <xdr:colOff>527050</xdr:colOff>
          <xdr:row>68</xdr:row>
          <xdr:rowOff>19050</xdr:rowOff>
        </xdr:to>
        <xdr:sp macro="" textlink="">
          <xdr:nvSpPr>
            <xdr:cNvPr id="187409" name="Group Box 17" hidden="1">
              <a:extLst>
                <a:ext uri="{63B3BB69-23CF-44E3-9099-C40C66FF867C}">
                  <a14:compatExt spid="_x0000_s187409"/>
                </a:ext>
                <a:ext uri="{FF2B5EF4-FFF2-40B4-BE49-F238E27FC236}">
                  <a16:creationId xmlns:a16="http://schemas.microsoft.com/office/drawing/2014/main" id="{00000000-0008-0000-0900-000011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374650</xdr:colOff>
          <xdr:row>65</xdr:row>
          <xdr:rowOff>12700</xdr:rowOff>
        </xdr:from>
        <xdr:to>
          <xdr:col>13</xdr:col>
          <xdr:colOff>12700</xdr:colOff>
          <xdr:row>66</xdr:row>
          <xdr:rowOff>12700</xdr:rowOff>
        </xdr:to>
        <xdr:sp macro="" textlink="">
          <xdr:nvSpPr>
            <xdr:cNvPr id="187410" name="Group Box 18" hidden="1">
              <a:extLst>
                <a:ext uri="{63B3BB69-23CF-44E3-9099-C40C66FF867C}">
                  <a14:compatExt spid="_x0000_s187410"/>
                </a:ext>
                <a:ext uri="{FF2B5EF4-FFF2-40B4-BE49-F238E27FC236}">
                  <a16:creationId xmlns:a16="http://schemas.microsoft.com/office/drawing/2014/main" id="{00000000-0008-0000-0900-000012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374650</xdr:colOff>
          <xdr:row>66</xdr:row>
          <xdr:rowOff>88900</xdr:rowOff>
        </xdr:from>
        <xdr:to>
          <xdr:col>13</xdr:col>
          <xdr:colOff>12700</xdr:colOff>
          <xdr:row>67</xdr:row>
          <xdr:rowOff>31750</xdr:rowOff>
        </xdr:to>
        <xdr:sp macro="" textlink="">
          <xdr:nvSpPr>
            <xdr:cNvPr id="187411" name="Group Box 19" hidden="1">
              <a:extLst>
                <a:ext uri="{63B3BB69-23CF-44E3-9099-C40C66FF867C}">
                  <a14:compatExt spid="_x0000_s187411"/>
                </a:ext>
                <a:ext uri="{FF2B5EF4-FFF2-40B4-BE49-F238E27FC236}">
                  <a16:creationId xmlns:a16="http://schemas.microsoft.com/office/drawing/2014/main" id="{00000000-0008-0000-0900-000013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374650</xdr:colOff>
          <xdr:row>67</xdr:row>
          <xdr:rowOff>88900</xdr:rowOff>
        </xdr:from>
        <xdr:to>
          <xdr:col>13</xdr:col>
          <xdr:colOff>38100</xdr:colOff>
          <xdr:row>68</xdr:row>
          <xdr:rowOff>38100</xdr:rowOff>
        </xdr:to>
        <xdr:sp macro="" textlink="">
          <xdr:nvSpPr>
            <xdr:cNvPr id="187412" name="Group Box 20" hidden="1">
              <a:extLst>
                <a:ext uri="{63B3BB69-23CF-44E3-9099-C40C66FF867C}">
                  <a14:compatExt spid="_x0000_s187412"/>
                </a:ext>
                <a:ext uri="{FF2B5EF4-FFF2-40B4-BE49-F238E27FC236}">
                  <a16:creationId xmlns:a16="http://schemas.microsoft.com/office/drawing/2014/main" id="{00000000-0008-0000-0900-000014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1212850</xdr:colOff>
          <xdr:row>19</xdr:row>
          <xdr:rowOff>260350</xdr:rowOff>
        </xdr:from>
        <xdr:to>
          <xdr:col>4</xdr:col>
          <xdr:colOff>723900</xdr:colOff>
          <xdr:row>23</xdr:row>
          <xdr:rowOff>146050</xdr:rowOff>
        </xdr:to>
        <xdr:sp macro="" textlink="">
          <xdr:nvSpPr>
            <xdr:cNvPr id="187413" name="Group Box 21" hidden="1">
              <a:extLst>
                <a:ext uri="{63B3BB69-23CF-44E3-9099-C40C66FF867C}">
                  <a14:compatExt spid="_x0000_s187413"/>
                </a:ext>
                <a:ext uri="{FF2B5EF4-FFF2-40B4-BE49-F238E27FC236}">
                  <a16:creationId xmlns:a16="http://schemas.microsoft.com/office/drawing/2014/main" id="{00000000-0008-0000-0900-000015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US" sz="800" b="0" i="0" u="none" strike="noStrike" baseline="0">
                  <a:solidFill>
                    <a:srgbClr val="000000"/>
                  </a:solidFill>
                  <a:latin typeface="Segoe UI"/>
                  <a:cs typeface="Segoe UI"/>
                </a:rPr>
                <a:t>Group Box 450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35</xdr:row>
          <xdr:rowOff>114300</xdr:rowOff>
        </xdr:from>
        <xdr:to>
          <xdr:col>6</xdr:col>
          <xdr:colOff>209550</xdr:colOff>
          <xdr:row>39</xdr:row>
          <xdr:rowOff>31750</xdr:rowOff>
        </xdr:to>
        <xdr:sp macro="" textlink="">
          <xdr:nvSpPr>
            <xdr:cNvPr id="187414" name="Group Box 22" hidden="1">
              <a:extLst>
                <a:ext uri="{63B3BB69-23CF-44E3-9099-C40C66FF867C}">
                  <a14:compatExt spid="_x0000_s187414"/>
                </a:ext>
                <a:ext uri="{FF2B5EF4-FFF2-40B4-BE49-F238E27FC236}">
                  <a16:creationId xmlns:a16="http://schemas.microsoft.com/office/drawing/2014/main" id="{00000000-0008-0000-0900-000016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US" sz="800" b="0" i="0" u="none" strike="noStrike" baseline="0">
                  <a:solidFill>
                    <a:srgbClr val="000000"/>
                  </a:solidFill>
                  <a:latin typeface="Segoe UI"/>
                  <a:cs typeface="Segoe UI"/>
                </a:rPr>
                <a:t>Group Box 451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723900</xdr:colOff>
          <xdr:row>35</xdr:row>
          <xdr:rowOff>127000</xdr:rowOff>
        </xdr:from>
        <xdr:to>
          <xdr:col>10</xdr:col>
          <xdr:colOff>107950</xdr:colOff>
          <xdr:row>39</xdr:row>
          <xdr:rowOff>76200</xdr:rowOff>
        </xdr:to>
        <xdr:sp macro="" textlink="">
          <xdr:nvSpPr>
            <xdr:cNvPr id="187415" name="Group Box 23" hidden="1">
              <a:extLst>
                <a:ext uri="{63B3BB69-23CF-44E3-9099-C40C66FF867C}">
                  <a14:compatExt spid="_x0000_s187415"/>
                </a:ext>
                <a:ext uri="{FF2B5EF4-FFF2-40B4-BE49-F238E27FC236}">
                  <a16:creationId xmlns:a16="http://schemas.microsoft.com/office/drawing/2014/main" id="{00000000-0008-0000-0900-000017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US" sz="800" b="0" i="0" u="none" strike="noStrike" baseline="0">
                  <a:solidFill>
                    <a:srgbClr val="000000"/>
                  </a:solidFill>
                  <a:latin typeface="Segoe UI"/>
                  <a:cs typeface="Segoe UI"/>
                </a:rPr>
                <a:t>Group Box 452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51</xdr:row>
          <xdr:rowOff>184150</xdr:rowOff>
        </xdr:from>
        <xdr:to>
          <xdr:col>6</xdr:col>
          <xdr:colOff>190500</xdr:colOff>
          <xdr:row>55</xdr:row>
          <xdr:rowOff>146050</xdr:rowOff>
        </xdr:to>
        <xdr:sp macro="" textlink="">
          <xdr:nvSpPr>
            <xdr:cNvPr id="187416" name="Group Box 24" hidden="1">
              <a:extLst>
                <a:ext uri="{63B3BB69-23CF-44E3-9099-C40C66FF867C}">
                  <a14:compatExt spid="_x0000_s187416"/>
                </a:ext>
                <a:ext uri="{FF2B5EF4-FFF2-40B4-BE49-F238E27FC236}">
                  <a16:creationId xmlns:a16="http://schemas.microsoft.com/office/drawing/2014/main" id="{00000000-0008-0000-0900-000018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US" sz="800" b="0" i="0" u="none" strike="noStrike" baseline="0">
                  <a:solidFill>
                    <a:srgbClr val="000000"/>
                  </a:solidFill>
                  <a:latin typeface="Segoe UI"/>
                  <a:cs typeface="Segoe UI"/>
                </a:rPr>
                <a:t>Group Box 453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679450</xdr:colOff>
          <xdr:row>51</xdr:row>
          <xdr:rowOff>152400</xdr:rowOff>
        </xdr:from>
        <xdr:to>
          <xdr:col>10</xdr:col>
          <xdr:colOff>285750</xdr:colOff>
          <xdr:row>55</xdr:row>
          <xdr:rowOff>203200</xdr:rowOff>
        </xdr:to>
        <xdr:sp macro="" textlink="">
          <xdr:nvSpPr>
            <xdr:cNvPr id="187417" name="Group Box 25" hidden="1">
              <a:extLst>
                <a:ext uri="{63B3BB69-23CF-44E3-9099-C40C66FF867C}">
                  <a14:compatExt spid="_x0000_s187417"/>
                </a:ext>
                <a:ext uri="{FF2B5EF4-FFF2-40B4-BE49-F238E27FC236}">
                  <a16:creationId xmlns:a16="http://schemas.microsoft.com/office/drawing/2014/main" id="{00000000-0008-0000-0900-000019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US" sz="800" b="0" i="0" u="none" strike="noStrike" baseline="0">
                  <a:solidFill>
                    <a:srgbClr val="000000"/>
                  </a:solidFill>
                  <a:latin typeface="Segoe UI"/>
                  <a:cs typeface="Segoe UI"/>
                </a:rPr>
                <a:t>Group Box 454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1346200</xdr:colOff>
          <xdr:row>68</xdr:row>
          <xdr:rowOff>184150</xdr:rowOff>
        </xdr:from>
        <xdr:to>
          <xdr:col>6</xdr:col>
          <xdr:colOff>342900</xdr:colOff>
          <xdr:row>73</xdr:row>
          <xdr:rowOff>50800</xdr:rowOff>
        </xdr:to>
        <xdr:sp macro="" textlink="">
          <xdr:nvSpPr>
            <xdr:cNvPr id="187418" name="Group Box 26" hidden="1">
              <a:extLst>
                <a:ext uri="{63B3BB69-23CF-44E3-9099-C40C66FF867C}">
                  <a14:compatExt spid="_x0000_s187418"/>
                </a:ext>
                <a:ext uri="{FF2B5EF4-FFF2-40B4-BE49-F238E27FC236}">
                  <a16:creationId xmlns:a16="http://schemas.microsoft.com/office/drawing/2014/main" id="{00000000-0008-0000-0900-00001A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US" sz="800" b="0" i="0" u="none" strike="noStrike" baseline="0">
                  <a:solidFill>
                    <a:srgbClr val="000000"/>
                  </a:solidFill>
                  <a:latin typeface="Segoe UI"/>
                  <a:cs typeface="Segoe UI"/>
                </a:rPr>
                <a:t>Group Box 455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781050</xdr:colOff>
          <xdr:row>68</xdr:row>
          <xdr:rowOff>209550</xdr:rowOff>
        </xdr:from>
        <xdr:to>
          <xdr:col>10</xdr:col>
          <xdr:colOff>342900</xdr:colOff>
          <xdr:row>72</xdr:row>
          <xdr:rowOff>203200</xdr:rowOff>
        </xdr:to>
        <xdr:sp macro="" textlink="">
          <xdr:nvSpPr>
            <xdr:cNvPr id="187419" name="Group Box 27" hidden="1">
              <a:extLst>
                <a:ext uri="{63B3BB69-23CF-44E3-9099-C40C66FF867C}">
                  <a14:compatExt spid="_x0000_s187419"/>
                </a:ext>
                <a:ext uri="{FF2B5EF4-FFF2-40B4-BE49-F238E27FC236}">
                  <a16:creationId xmlns:a16="http://schemas.microsoft.com/office/drawing/2014/main" id="{00000000-0008-0000-0900-00001B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US" sz="800" b="0" i="0" u="none" strike="noStrike" baseline="0">
                  <a:solidFill>
                    <a:srgbClr val="000000"/>
                  </a:solidFill>
                  <a:latin typeface="Segoe UI"/>
                  <a:cs typeface="Segoe UI"/>
                </a:rPr>
                <a:t>Group Box 456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33</xdr:row>
          <xdr:rowOff>12700</xdr:rowOff>
        </xdr:from>
        <xdr:to>
          <xdr:col>6</xdr:col>
          <xdr:colOff>527050</xdr:colOff>
          <xdr:row>34</xdr:row>
          <xdr:rowOff>0</xdr:rowOff>
        </xdr:to>
        <xdr:sp macro="" textlink="">
          <xdr:nvSpPr>
            <xdr:cNvPr id="187420" name="Group Box 28" hidden="1">
              <a:extLst>
                <a:ext uri="{63B3BB69-23CF-44E3-9099-C40C66FF867C}">
                  <a14:compatExt spid="_x0000_s187420"/>
                </a:ext>
                <a:ext uri="{FF2B5EF4-FFF2-40B4-BE49-F238E27FC236}">
                  <a16:creationId xmlns:a16="http://schemas.microsoft.com/office/drawing/2014/main" id="{00000000-0008-0000-0900-00001C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34</xdr:row>
          <xdr:rowOff>12700</xdr:rowOff>
        </xdr:from>
        <xdr:to>
          <xdr:col>6</xdr:col>
          <xdr:colOff>527050</xdr:colOff>
          <xdr:row>35</xdr:row>
          <xdr:rowOff>0</xdr:rowOff>
        </xdr:to>
        <xdr:sp macro="" textlink="">
          <xdr:nvSpPr>
            <xdr:cNvPr id="187421" name="Group Box 29" hidden="1">
              <a:extLst>
                <a:ext uri="{63B3BB69-23CF-44E3-9099-C40C66FF867C}">
                  <a14:compatExt spid="_x0000_s187421"/>
                </a:ext>
                <a:ext uri="{FF2B5EF4-FFF2-40B4-BE49-F238E27FC236}">
                  <a16:creationId xmlns:a16="http://schemas.microsoft.com/office/drawing/2014/main" id="{00000000-0008-0000-0900-00001D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33</xdr:row>
          <xdr:rowOff>12700</xdr:rowOff>
        </xdr:from>
        <xdr:to>
          <xdr:col>6</xdr:col>
          <xdr:colOff>527050</xdr:colOff>
          <xdr:row>34</xdr:row>
          <xdr:rowOff>0</xdr:rowOff>
        </xdr:to>
        <xdr:sp macro="" textlink="">
          <xdr:nvSpPr>
            <xdr:cNvPr id="187422" name="Group Box 30" hidden="1">
              <a:extLst>
                <a:ext uri="{63B3BB69-23CF-44E3-9099-C40C66FF867C}">
                  <a14:compatExt spid="_x0000_s187422"/>
                </a:ext>
                <a:ext uri="{FF2B5EF4-FFF2-40B4-BE49-F238E27FC236}">
                  <a16:creationId xmlns:a16="http://schemas.microsoft.com/office/drawing/2014/main" id="{00000000-0008-0000-0900-00001E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34</xdr:row>
          <xdr:rowOff>12700</xdr:rowOff>
        </xdr:from>
        <xdr:to>
          <xdr:col>6</xdr:col>
          <xdr:colOff>527050</xdr:colOff>
          <xdr:row>35</xdr:row>
          <xdr:rowOff>0</xdr:rowOff>
        </xdr:to>
        <xdr:sp macro="" textlink="">
          <xdr:nvSpPr>
            <xdr:cNvPr id="187423" name="Group Box 31" hidden="1">
              <a:extLst>
                <a:ext uri="{63B3BB69-23CF-44E3-9099-C40C66FF867C}">
                  <a14:compatExt spid="_x0000_s187423"/>
                </a:ext>
                <a:ext uri="{FF2B5EF4-FFF2-40B4-BE49-F238E27FC236}">
                  <a16:creationId xmlns:a16="http://schemas.microsoft.com/office/drawing/2014/main" id="{00000000-0008-0000-0900-00001F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374650</xdr:colOff>
          <xdr:row>33</xdr:row>
          <xdr:rowOff>12700</xdr:rowOff>
        </xdr:from>
        <xdr:to>
          <xdr:col>13</xdr:col>
          <xdr:colOff>12700</xdr:colOff>
          <xdr:row>34</xdr:row>
          <xdr:rowOff>12700</xdr:rowOff>
        </xdr:to>
        <xdr:sp macro="" textlink="">
          <xdr:nvSpPr>
            <xdr:cNvPr id="187424" name="Group Box 32" hidden="1">
              <a:extLst>
                <a:ext uri="{63B3BB69-23CF-44E3-9099-C40C66FF867C}">
                  <a14:compatExt spid="_x0000_s187424"/>
                </a:ext>
                <a:ext uri="{FF2B5EF4-FFF2-40B4-BE49-F238E27FC236}">
                  <a16:creationId xmlns:a16="http://schemas.microsoft.com/office/drawing/2014/main" id="{00000000-0008-0000-0900-000020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374650</xdr:colOff>
          <xdr:row>34</xdr:row>
          <xdr:rowOff>12700</xdr:rowOff>
        </xdr:from>
        <xdr:to>
          <xdr:col>13</xdr:col>
          <xdr:colOff>12700</xdr:colOff>
          <xdr:row>35</xdr:row>
          <xdr:rowOff>12700</xdr:rowOff>
        </xdr:to>
        <xdr:sp macro="" textlink="">
          <xdr:nvSpPr>
            <xdr:cNvPr id="187425" name="Group Box 33" hidden="1">
              <a:extLst>
                <a:ext uri="{63B3BB69-23CF-44E3-9099-C40C66FF867C}">
                  <a14:compatExt spid="_x0000_s187425"/>
                </a:ext>
                <a:ext uri="{FF2B5EF4-FFF2-40B4-BE49-F238E27FC236}">
                  <a16:creationId xmlns:a16="http://schemas.microsoft.com/office/drawing/2014/main" id="{00000000-0008-0000-0900-000021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49</xdr:row>
          <xdr:rowOff>12700</xdr:rowOff>
        </xdr:from>
        <xdr:to>
          <xdr:col>6</xdr:col>
          <xdr:colOff>527050</xdr:colOff>
          <xdr:row>50</xdr:row>
          <xdr:rowOff>0</xdr:rowOff>
        </xdr:to>
        <xdr:sp macro="" textlink="">
          <xdr:nvSpPr>
            <xdr:cNvPr id="187426" name="Group Box 34" hidden="1">
              <a:extLst>
                <a:ext uri="{63B3BB69-23CF-44E3-9099-C40C66FF867C}">
                  <a14:compatExt spid="_x0000_s187426"/>
                </a:ext>
                <a:ext uri="{FF2B5EF4-FFF2-40B4-BE49-F238E27FC236}">
                  <a16:creationId xmlns:a16="http://schemas.microsoft.com/office/drawing/2014/main" id="{00000000-0008-0000-0900-000022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50</xdr:row>
          <xdr:rowOff>12700</xdr:rowOff>
        </xdr:from>
        <xdr:to>
          <xdr:col>6</xdr:col>
          <xdr:colOff>527050</xdr:colOff>
          <xdr:row>51</xdr:row>
          <xdr:rowOff>0</xdr:rowOff>
        </xdr:to>
        <xdr:sp macro="" textlink="">
          <xdr:nvSpPr>
            <xdr:cNvPr id="187427" name="Group Box 35" hidden="1">
              <a:extLst>
                <a:ext uri="{63B3BB69-23CF-44E3-9099-C40C66FF867C}">
                  <a14:compatExt spid="_x0000_s187427"/>
                </a:ext>
                <a:ext uri="{FF2B5EF4-FFF2-40B4-BE49-F238E27FC236}">
                  <a16:creationId xmlns:a16="http://schemas.microsoft.com/office/drawing/2014/main" id="{00000000-0008-0000-0900-000023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374650</xdr:colOff>
          <xdr:row>49</xdr:row>
          <xdr:rowOff>12700</xdr:rowOff>
        </xdr:from>
        <xdr:to>
          <xdr:col>13</xdr:col>
          <xdr:colOff>12700</xdr:colOff>
          <xdr:row>50</xdr:row>
          <xdr:rowOff>12700</xdr:rowOff>
        </xdr:to>
        <xdr:sp macro="" textlink="">
          <xdr:nvSpPr>
            <xdr:cNvPr id="187428" name="Group Box 36" hidden="1">
              <a:extLst>
                <a:ext uri="{63B3BB69-23CF-44E3-9099-C40C66FF867C}">
                  <a14:compatExt spid="_x0000_s187428"/>
                </a:ext>
                <a:ext uri="{FF2B5EF4-FFF2-40B4-BE49-F238E27FC236}">
                  <a16:creationId xmlns:a16="http://schemas.microsoft.com/office/drawing/2014/main" id="{00000000-0008-0000-0900-000024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374650</xdr:colOff>
          <xdr:row>50</xdr:row>
          <xdr:rowOff>12700</xdr:rowOff>
        </xdr:from>
        <xdr:to>
          <xdr:col>13</xdr:col>
          <xdr:colOff>12700</xdr:colOff>
          <xdr:row>51</xdr:row>
          <xdr:rowOff>12700</xdr:rowOff>
        </xdr:to>
        <xdr:sp macro="" textlink="">
          <xdr:nvSpPr>
            <xdr:cNvPr id="187429" name="Group Box 37" hidden="1">
              <a:extLst>
                <a:ext uri="{63B3BB69-23CF-44E3-9099-C40C66FF867C}">
                  <a14:compatExt spid="_x0000_s187429"/>
                </a:ext>
                <a:ext uri="{FF2B5EF4-FFF2-40B4-BE49-F238E27FC236}">
                  <a16:creationId xmlns:a16="http://schemas.microsoft.com/office/drawing/2014/main" id="{00000000-0008-0000-0900-000025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66</xdr:row>
          <xdr:rowOff>12700</xdr:rowOff>
        </xdr:from>
        <xdr:to>
          <xdr:col>6</xdr:col>
          <xdr:colOff>527050</xdr:colOff>
          <xdr:row>67</xdr:row>
          <xdr:rowOff>0</xdr:rowOff>
        </xdr:to>
        <xdr:sp macro="" textlink="">
          <xdr:nvSpPr>
            <xdr:cNvPr id="187430" name="Group Box 38" hidden="1">
              <a:extLst>
                <a:ext uri="{63B3BB69-23CF-44E3-9099-C40C66FF867C}">
                  <a14:compatExt spid="_x0000_s187430"/>
                </a:ext>
                <a:ext uri="{FF2B5EF4-FFF2-40B4-BE49-F238E27FC236}">
                  <a16:creationId xmlns:a16="http://schemas.microsoft.com/office/drawing/2014/main" id="{00000000-0008-0000-0900-000026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67</xdr:row>
          <xdr:rowOff>12700</xdr:rowOff>
        </xdr:from>
        <xdr:to>
          <xdr:col>6</xdr:col>
          <xdr:colOff>527050</xdr:colOff>
          <xdr:row>68</xdr:row>
          <xdr:rowOff>0</xdr:rowOff>
        </xdr:to>
        <xdr:sp macro="" textlink="">
          <xdr:nvSpPr>
            <xdr:cNvPr id="187431" name="Group Box 39" hidden="1">
              <a:extLst>
                <a:ext uri="{63B3BB69-23CF-44E3-9099-C40C66FF867C}">
                  <a14:compatExt spid="_x0000_s187431"/>
                </a:ext>
                <a:ext uri="{FF2B5EF4-FFF2-40B4-BE49-F238E27FC236}">
                  <a16:creationId xmlns:a16="http://schemas.microsoft.com/office/drawing/2014/main" id="{00000000-0008-0000-0900-000027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374650</xdr:colOff>
          <xdr:row>66</xdr:row>
          <xdr:rowOff>12700</xdr:rowOff>
        </xdr:from>
        <xdr:to>
          <xdr:col>13</xdr:col>
          <xdr:colOff>12700</xdr:colOff>
          <xdr:row>67</xdr:row>
          <xdr:rowOff>12700</xdr:rowOff>
        </xdr:to>
        <xdr:sp macro="" textlink="">
          <xdr:nvSpPr>
            <xdr:cNvPr id="187432" name="Group Box 40" hidden="1">
              <a:extLst>
                <a:ext uri="{63B3BB69-23CF-44E3-9099-C40C66FF867C}">
                  <a14:compatExt spid="_x0000_s187432"/>
                </a:ext>
                <a:ext uri="{FF2B5EF4-FFF2-40B4-BE49-F238E27FC236}">
                  <a16:creationId xmlns:a16="http://schemas.microsoft.com/office/drawing/2014/main" id="{00000000-0008-0000-0900-000028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374650</xdr:colOff>
          <xdr:row>67</xdr:row>
          <xdr:rowOff>12700</xdr:rowOff>
        </xdr:from>
        <xdr:to>
          <xdr:col>13</xdr:col>
          <xdr:colOff>12700</xdr:colOff>
          <xdr:row>68</xdr:row>
          <xdr:rowOff>12700</xdr:rowOff>
        </xdr:to>
        <xdr:sp macro="" textlink="">
          <xdr:nvSpPr>
            <xdr:cNvPr id="187433" name="Group Box 41" hidden="1">
              <a:extLst>
                <a:ext uri="{63B3BB69-23CF-44E3-9099-C40C66FF867C}">
                  <a14:compatExt spid="_x0000_s187433"/>
                </a:ext>
                <a:ext uri="{FF2B5EF4-FFF2-40B4-BE49-F238E27FC236}">
                  <a16:creationId xmlns:a16="http://schemas.microsoft.com/office/drawing/2014/main" id="{00000000-0008-0000-0900-000029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23</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1</xdr:col>
      <xdr:colOff>139700</xdr:colOff>
      <xdr:row>40</xdr:row>
      <xdr:rowOff>78314</xdr:rowOff>
    </xdr:from>
    <xdr:to>
      <xdr:col>2</xdr:col>
      <xdr:colOff>942976</xdr:colOff>
      <xdr:row>45</xdr:row>
      <xdr:rowOff>154514</xdr:rowOff>
    </xdr:to>
    <xdr:pic>
      <xdr:nvPicPr>
        <xdr:cNvPr id="11" name="Picture 10" descr="Duct Sealing - Existing Homes - Idaho Power">
          <a:extLst>
            <a:ext uri="{FF2B5EF4-FFF2-40B4-BE49-F238E27FC236}">
              <a16:creationId xmlns:a16="http://schemas.microsoft.com/office/drawing/2014/main" id="{00000000-0008-0000-0A00-00000B000000}"/>
            </a:ext>
          </a:extLst>
        </xdr:cNvPr>
        <xdr:cNvPicPr>
          <a:picLocks noChangeAspect="1" noChangeArrowheads="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imgEffect>
                </a14:imgLayer>
              </a14:imgProps>
            </a:ext>
            <a:ext uri="{28A0092B-C50C-407E-A947-70E740481C1C}">
              <a14:useLocalDpi xmlns:a14="http://schemas.microsoft.com/office/drawing/2010/main" val="0"/>
            </a:ext>
          </a:extLst>
        </a:blip>
        <a:srcRect l="22913" t="8907" r="15808" b="8329"/>
        <a:stretch/>
      </xdr:blipFill>
      <xdr:spPr bwMode="auto">
        <a:xfrm>
          <a:off x="404283" y="7200897"/>
          <a:ext cx="1099610" cy="9757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1320801</xdr:colOff>
      <xdr:row>40</xdr:row>
      <xdr:rowOff>97364</xdr:rowOff>
    </xdr:from>
    <xdr:to>
      <xdr:col>3</xdr:col>
      <xdr:colOff>1742596</xdr:colOff>
      <xdr:row>45</xdr:row>
      <xdr:rowOff>173564</xdr:rowOff>
    </xdr:to>
    <xdr:pic>
      <xdr:nvPicPr>
        <xdr:cNvPr id="13" name="Picture 12" descr="multifamily duct sealing and duct insulation">
          <a:extLst>
            <a:ext uri="{FF2B5EF4-FFF2-40B4-BE49-F238E27FC236}">
              <a16:creationId xmlns:a16="http://schemas.microsoft.com/office/drawing/2014/main" id="{00000000-0008-0000-0A00-00000D000000}"/>
            </a:ext>
          </a:extLst>
        </xdr:cNvPr>
        <xdr:cNvPicPr>
          <a:picLocks noChangeAspect="1" noChangeArrowheads="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ackgroundRemoval t="10000" b="90000" l="10000" r="90000"/>
                  </a14:imgEffect>
                </a14:imgLayer>
              </a14:imgProps>
            </a:ext>
            <a:ext uri="{28A0092B-C50C-407E-A947-70E740481C1C}">
              <a14:useLocalDpi xmlns:a14="http://schemas.microsoft.com/office/drawing/2010/main" val="0"/>
            </a:ext>
          </a:extLst>
        </a:blip>
        <a:srcRect l="9404" t="23659" r="7892" b="13434"/>
        <a:stretch/>
      </xdr:blipFill>
      <xdr:spPr bwMode="auto">
        <a:xfrm>
          <a:off x="1881718" y="7219947"/>
          <a:ext cx="2072795" cy="9757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97465</xdr:colOff>
      <xdr:row>79</xdr:row>
      <xdr:rowOff>85720</xdr:rowOff>
    </xdr:from>
    <xdr:to>
      <xdr:col>3</xdr:col>
      <xdr:colOff>606425</xdr:colOff>
      <xdr:row>85</xdr:row>
      <xdr:rowOff>64553</xdr:rowOff>
    </xdr:to>
    <xdr:pic>
      <xdr:nvPicPr>
        <xdr:cNvPr id="17" name="Picture 16" descr="Aerobarrier Air Barrier Spray for Sealing air leaks in Attics or Homes -  Ecohome">
          <a:extLst>
            <a:ext uri="{FF2B5EF4-FFF2-40B4-BE49-F238E27FC236}">
              <a16:creationId xmlns:a16="http://schemas.microsoft.com/office/drawing/2014/main" id="{00000000-0008-0000-0A00-000011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62048" y="16690970"/>
          <a:ext cx="2456294" cy="10551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628650</xdr:colOff>
      <xdr:row>79</xdr:row>
      <xdr:rowOff>57146</xdr:rowOff>
    </xdr:from>
    <xdr:to>
      <xdr:col>4</xdr:col>
      <xdr:colOff>285750</xdr:colOff>
      <xdr:row>85</xdr:row>
      <xdr:rowOff>83604</xdr:rowOff>
    </xdr:to>
    <xdr:pic>
      <xdr:nvPicPr>
        <xdr:cNvPr id="18" name="Picture 17" descr="Air Sealing House Cost | House Sealing Prices">
          <a:extLst>
            <a:ext uri="{FF2B5EF4-FFF2-40B4-BE49-F238E27FC236}">
              <a16:creationId xmlns:a16="http://schemas.microsoft.com/office/drawing/2014/main" id="{00000000-0008-0000-0A00-000012000000}"/>
            </a:ext>
          </a:extLst>
        </xdr:cNvPr>
        <xdr:cNvPicPr>
          <a:picLocks noChangeAspect="1" noChangeArrowheads="1"/>
        </xdr:cNvPicPr>
      </xdr:nvPicPr>
      <xdr:blipFill rotWithShape="1">
        <a:blip xmlns:r="http://schemas.openxmlformats.org/officeDocument/2006/relationships" r:embed="rId6" cstate="print">
          <a:extLst>
            <a:ext uri="{BEBA8EAE-BF5A-486C-A8C5-ECC9F3942E4B}">
              <a14:imgProps xmlns:a14="http://schemas.microsoft.com/office/drawing/2010/main">
                <a14:imgLayer r:embed="rId7">
                  <a14:imgEffect>
                    <a14:backgroundRemoval t="1423" b="99644" l="0" r="94200">
                      <a14:foregroundMark x1="0" y1="28114" x2="3800" y2="46619"/>
                      <a14:foregroundMark x1="3800" y1="46619" x2="0" y2="80783"/>
                      <a14:foregroundMark x1="4000" y1="49822" x2="14200" y2="48043"/>
                      <a14:foregroundMark x1="14200" y1="48043" x2="36000" y2="51246"/>
                      <a14:foregroundMark x1="36000" y1="51246" x2="15200" y2="59431"/>
                      <a14:foregroundMark x1="4900" y1="59431" x2="4400" y2="59431"/>
                      <a14:foregroundMark x1="14168" y1="59431" x2="13733" y2="59431"/>
                      <a14:foregroundMark x1="15200" y1="59431" x2="14436" y2="59431"/>
                      <a14:foregroundMark x1="16291" y1="39904" x2="16800" y2="50178"/>
                      <a14:foregroundMark x1="14400" y1="1779" x2="14454" y2="2858"/>
                      <a14:foregroundMark x1="93444" y1="98277" x2="94200" y2="99644"/>
                      <a14:foregroundMark x1="86746" y1="97509" x2="64000" y2="97509"/>
                      <a14:foregroundMark x1="64000" y1="97509" x2="39000" y2="92883"/>
                      <a14:foregroundMark x1="39000" y1="92883" x2="29000" y2="97865"/>
                      <a14:foregroundMark x1="29000" y1="97865" x2="36000" y2="83986"/>
                      <a14:foregroundMark x1="36000" y1="83986" x2="51800" y2="73310"/>
                      <a14:foregroundMark x1="63320" y1="35825" x2="63290" y2="35563"/>
                      <a14:foregroundMark x1="400" y1="27046" x2="5000" y2="39146"/>
                      <a14:foregroundMark x1="5000" y1="39146" x2="3800" y2="41281"/>
                      <a14:foregroundMark x1="63000" y1="50534" x2="74200" y2="81851"/>
                      <a14:foregroundMark x1="74200" y1="81851" x2="84000" y2="98577"/>
                      <a14:foregroundMark x1="84000" y1="98577" x2="69800" y2="91103"/>
                      <a14:foregroundMark x1="69800" y1="91103" x2="58400" y2="76868"/>
                      <a14:foregroundMark x1="58400" y1="76868" x2="58600" y2="64769"/>
                      <a14:foregroundMark x1="58600" y1="64769" x2="62800" y2="56228"/>
                      <a14:foregroundMark x1="62800" y1="56228" x2="63000" y2="53381"/>
                      <a14:foregroundMark x1="58600" y1="42349" x2="63800" y2="49466"/>
                      <a14:foregroundMark x1="63800" y1="49466" x2="59600" y2="43416"/>
                      <a14:backgroundMark x1="13800" y1="2847" x2="13600" y2="39858"/>
                      <a14:backgroundMark x1="13600" y1="39858" x2="0" y2="11032"/>
                      <a14:backgroundMark x1="0" y1="11032" x2="10000" y2="356"/>
                      <a14:backgroundMark x1="10000" y1="356" x2="14000" y2="1423"/>
                      <a14:backgroundMark x1="6200" y1="63701" x2="4200" y2="81851"/>
                      <a14:backgroundMark x1="4200" y1="81851" x2="8600" y2="98577"/>
                      <a14:backgroundMark x1="8600" y1="98577" x2="15200" y2="83274"/>
                      <a14:backgroundMark x1="15200" y1="83274" x2="15200" y2="63701"/>
                      <a14:backgroundMark x1="15200" y1="63701" x2="6000" y2="62633"/>
                      <a14:backgroundMark x1="67400" y1="1068" x2="64200" y2="11388"/>
                      <a14:backgroundMark x1="64200" y1="11388" x2="63600" y2="35587"/>
                      <a14:backgroundMark x1="63600" y1="35587" x2="66400" y2="45196"/>
                      <a14:backgroundMark x1="66174" y1="48152" x2="92400" y2="99644"/>
                      <a14:backgroundMark x1="65464" y1="46757" x2="65899" y2="47611"/>
                    </a14:backgroundRemoval>
                  </a14:imgEffect>
                </a14:imgLayer>
              </a14:imgProps>
            </a:ext>
            <a:ext uri="{28A0092B-C50C-407E-A947-70E740481C1C}">
              <a14:useLocalDpi xmlns:a14="http://schemas.microsoft.com/office/drawing/2010/main" val="0"/>
            </a:ext>
          </a:extLst>
        </a:blip>
        <a:srcRect r="10470"/>
        <a:stretch/>
      </xdr:blipFill>
      <xdr:spPr bwMode="auto">
        <a:xfrm>
          <a:off x="2840567" y="16662396"/>
          <a:ext cx="1794933" cy="11027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132292</xdr:colOff>
      <xdr:row>99</xdr:row>
      <xdr:rowOff>459318</xdr:rowOff>
    </xdr:from>
    <xdr:to>
      <xdr:col>3</xdr:col>
      <xdr:colOff>1068749</xdr:colOff>
      <xdr:row>105</xdr:row>
      <xdr:rowOff>124622</xdr:rowOff>
    </xdr:to>
    <xdr:pic>
      <xdr:nvPicPr>
        <xdr:cNvPr id="19" name="Picture 18" descr="Spray Foam Insulation: Open and Closed Cell - GreenBuildingAdvisor">
          <a:extLst>
            <a:ext uri="{FF2B5EF4-FFF2-40B4-BE49-F238E27FC236}">
              <a16:creationId xmlns:a16="http://schemas.microsoft.com/office/drawing/2014/main" id="{00000000-0008-0000-0A00-000013000000}"/>
            </a:ext>
          </a:extLst>
        </xdr:cNvPr>
        <xdr:cNvPicPr>
          <a:picLocks noChangeAspect="1" noChangeArrowheads="1"/>
        </xdr:cNvPicPr>
      </xdr:nvPicPr>
      <xdr:blipFill rotWithShape="1">
        <a:blip xmlns:r="http://schemas.openxmlformats.org/officeDocument/2006/relationships" r:embed="rId8" cstate="print">
          <a:extLst>
            <a:ext uri="{BEBA8EAE-BF5A-486C-A8C5-ECC9F3942E4B}">
              <a14:imgProps xmlns:a14="http://schemas.microsoft.com/office/drawing/2010/main">
                <a14:imgLayer r:embed="rId9">
                  <a14:imgEffect>
                    <a14:backgroundRemoval t="9900" b="89989" l="7167" r="91500">
                      <a14:foregroundMark x1="9833" y1="65295" x2="7167" y2="70968"/>
                      <a14:foregroundMark x1="7167" y1="70968" x2="10833" y2="65851"/>
                      <a14:foregroundMark x1="10833" y1="65851" x2="10333" y2="65406"/>
                      <a14:foregroundMark x1="89500" y1="25362" x2="91333" y2="36819"/>
                      <a14:foregroundMark x1="91333" y1="36819" x2="89667" y2="44494"/>
                      <a14:foregroundMark x1="90000" y1="27364" x2="91500" y2="32369"/>
                    </a14:backgroundRemoval>
                  </a14:imgEffect>
                </a14:imgLayer>
              </a14:imgProps>
            </a:ext>
            <a:ext uri="{28A0092B-C50C-407E-A947-70E740481C1C}">
              <a14:useLocalDpi xmlns:a14="http://schemas.microsoft.com/office/drawing/2010/main" val="0"/>
            </a:ext>
          </a:extLst>
        </a:blip>
        <a:srcRect l="4994" t="10361" r="6655" b="18469"/>
        <a:stretch/>
      </xdr:blipFill>
      <xdr:spPr bwMode="auto">
        <a:xfrm>
          <a:off x="2344209" y="20948651"/>
          <a:ext cx="936457" cy="11088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198966</xdr:colOff>
      <xdr:row>100</xdr:row>
      <xdr:rowOff>72156</xdr:rowOff>
    </xdr:from>
    <xdr:to>
      <xdr:col>2</xdr:col>
      <xdr:colOff>932391</xdr:colOff>
      <xdr:row>105</xdr:row>
      <xdr:rowOff>6351</xdr:rowOff>
    </xdr:to>
    <xdr:pic>
      <xdr:nvPicPr>
        <xdr:cNvPr id="20" name="Picture 19" descr="Fiberglass-Insulation-Roll - Pepper Viner">
          <a:extLst>
            <a:ext uri="{FF2B5EF4-FFF2-40B4-BE49-F238E27FC236}">
              <a16:creationId xmlns:a16="http://schemas.microsoft.com/office/drawing/2014/main" id="{00000000-0008-0000-0A00-000014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63549" y="21069489"/>
          <a:ext cx="1029759" cy="8761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6350</xdr:colOff>
      <xdr:row>139</xdr:row>
      <xdr:rowOff>427377</xdr:rowOff>
    </xdr:from>
    <xdr:to>
      <xdr:col>3</xdr:col>
      <xdr:colOff>285750</xdr:colOff>
      <xdr:row>145</xdr:row>
      <xdr:rowOff>63502</xdr:rowOff>
    </xdr:to>
    <xdr:pic>
      <xdr:nvPicPr>
        <xdr:cNvPr id="22" name="Picture 21" descr="Air Curtain 2 – World Fan">
          <a:extLst>
            <a:ext uri="{FF2B5EF4-FFF2-40B4-BE49-F238E27FC236}">
              <a16:creationId xmlns:a16="http://schemas.microsoft.com/office/drawing/2014/main" id="{00000000-0008-0000-0A00-000016000000}"/>
            </a:ext>
          </a:extLst>
        </xdr:cNvPr>
        <xdr:cNvPicPr>
          <a:picLocks noChangeAspect="1" noChangeArrowheads="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t="20850" b="24292"/>
        <a:stretch/>
      </xdr:blipFill>
      <xdr:spPr bwMode="auto">
        <a:xfrm>
          <a:off x="568325" y="11419227"/>
          <a:ext cx="1927225" cy="10489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111125</xdr:colOff>
      <xdr:row>157</xdr:row>
      <xdr:rowOff>353212</xdr:rowOff>
    </xdr:from>
    <xdr:to>
      <xdr:col>3</xdr:col>
      <xdr:colOff>0</xdr:colOff>
      <xdr:row>162</xdr:row>
      <xdr:rowOff>50799</xdr:rowOff>
    </xdr:to>
    <xdr:pic>
      <xdr:nvPicPr>
        <xdr:cNvPr id="23" name="Picture 22" descr="Frost King 1/2-in Wall Thickness x 1-in Id x 6-ft Foam Pipe Insulation in  the Tubular Pipe Insulation department at Lowes.com">
          <a:extLst>
            <a:ext uri="{FF2B5EF4-FFF2-40B4-BE49-F238E27FC236}">
              <a16:creationId xmlns:a16="http://schemas.microsoft.com/office/drawing/2014/main" id="{00000000-0008-0000-0A00-000017000000}"/>
            </a:ext>
          </a:extLst>
        </xdr:cNvPr>
        <xdr:cNvPicPr>
          <a:picLocks noChangeAspect="1" noChangeArrowheads="1"/>
        </xdr:cNvPicPr>
      </xdr:nvPicPr>
      <xdr:blipFill rotWithShape="1">
        <a:blip xmlns:r="http://schemas.openxmlformats.org/officeDocument/2006/relationships" r:embed="rId12" cstate="print">
          <a:extLst>
            <a:ext uri="{BEBA8EAE-BF5A-486C-A8C5-ECC9F3942E4B}">
              <a14:imgProps xmlns:a14="http://schemas.microsoft.com/office/drawing/2010/main">
                <a14:imgLayer r:embed="rId13">
                  <a14:imgEffect>
                    <a14:backgroundRemoval t="9926" b="89926" l="9926" r="96000">
                      <a14:foregroundMark x1="88741" y1="27259" x2="95852" y2="30963"/>
                      <a14:foregroundMark x1="95852" y1="30963" x2="96000" y2="54815"/>
                      <a14:foregroundMark x1="96000" y1="54815" x2="93481" y2="59704"/>
                      <a14:foregroundMark x1="16000" y1="43704" x2="12148" y2="47852"/>
                      <a14:foregroundMark x1="15704" y1="43556" x2="12000" y2="48889"/>
                    </a14:backgroundRemoval>
                  </a14:imgEffect>
                </a14:imgLayer>
              </a14:imgProps>
            </a:ext>
            <a:ext uri="{28A0092B-C50C-407E-A947-70E740481C1C}">
              <a14:useLocalDpi xmlns:a14="http://schemas.microsoft.com/office/drawing/2010/main" val="0"/>
            </a:ext>
          </a:extLst>
        </a:blip>
        <a:srcRect l="10104" t="21593" b="20633"/>
        <a:stretch/>
      </xdr:blipFill>
      <xdr:spPr bwMode="auto">
        <a:xfrm>
          <a:off x="673100" y="12935737"/>
          <a:ext cx="1489075" cy="9421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441614</xdr:colOff>
      <xdr:row>0</xdr:row>
      <xdr:rowOff>207818</xdr:rowOff>
    </xdr:from>
    <xdr:to>
      <xdr:col>12</xdr:col>
      <xdr:colOff>655378</xdr:colOff>
      <xdr:row>2</xdr:row>
      <xdr:rowOff>220950</xdr:rowOff>
    </xdr:to>
    <xdr:pic>
      <xdr:nvPicPr>
        <xdr:cNvPr id="2" name="Picture 1">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9239250" y="207818"/>
          <a:ext cx="4307205" cy="9333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35</xdr:row>
          <xdr:rowOff>0</xdr:rowOff>
        </xdr:from>
        <xdr:to>
          <xdr:col>3</xdr:col>
          <xdr:colOff>285750</xdr:colOff>
          <xdr:row>38</xdr:row>
          <xdr:rowOff>0</xdr:rowOff>
        </xdr:to>
        <xdr:sp macro="" textlink="">
          <xdr:nvSpPr>
            <xdr:cNvPr id="48656" name="Group Box 528" hidden="1">
              <a:extLst>
                <a:ext uri="{63B3BB69-23CF-44E3-9099-C40C66FF867C}">
                  <a14:compatExt spid="_x0000_s48656"/>
                </a:ext>
                <a:ext uri="{FF2B5EF4-FFF2-40B4-BE49-F238E27FC236}">
                  <a16:creationId xmlns:a16="http://schemas.microsoft.com/office/drawing/2014/main" id="{00000000-0008-0000-0B00-000010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US" sz="800" b="0" i="0" u="none" strike="noStrike" baseline="0">
                  <a:solidFill>
                    <a:srgbClr val="000000"/>
                  </a:solidFill>
                  <a:latin typeface="Segoe UI"/>
                  <a:cs typeface="Segoe UI"/>
                </a:rPr>
                <a:t>Group Box 528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58</xdr:row>
          <xdr:rowOff>114300</xdr:rowOff>
        </xdr:from>
        <xdr:to>
          <xdr:col>3</xdr:col>
          <xdr:colOff>247650</xdr:colOff>
          <xdr:row>61</xdr:row>
          <xdr:rowOff>114300</xdr:rowOff>
        </xdr:to>
        <xdr:sp macro="" textlink="">
          <xdr:nvSpPr>
            <xdr:cNvPr id="48659" name="Group Box 531" hidden="1">
              <a:extLst>
                <a:ext uri="{63B3BB69-23CF-44E3-9099-C40C66FF867C}">
                  <a14:compatExt spid="_x0000_s48659"/>
                </a:ext>
                <a:ext uri="{FF2B5EF4-FFF2-40B4-BE49-F238E27FC236}">
                  <a16:creationId xmlns:a16="http://schemas.microsoft.com/office/drawing/2014/main" id="{00000000-0008-0000-0B00-000013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US" sz="800" b="0" i="0" u="none" strike="noStrike" baseline="0">
                  <a:solidFill>
                    <a:srgbClr val="000000"/>
                  </a:solidFill>
                  <a:latin typeface="Segoe UI"/>
                  <a:cs typeface="Segoe UI"/>
                </a:rPr>
                <a:t>Group Box 531</a:t>
              </a:r>
            </a:p>
          </xdr:txBody>
        </xdr:sp>
        <xdr:clientData/>
      </xdr:twoCellAnchor>
    </mc:Choice>
    <mc:Fallback/>
  </mc:AlternateContent>
  <xdr:twoCellAnchor editAs="oneCell">
    <xdr:from>
      <xdr:col>8</xdr:col>
      <xdr:colOff>95250</xdr:colOff>
      <xdr:row>0</xdr:row>
      <xdr:rowOff>73026</xdr:rowOff>
    </xdr:from>
    <xdr:to>
      <xdr:col>13</xdr:col>
      <xdr:colOff>69500</xdr:colOff>
      <xdr:row>2</xdr:row>
      <xdr:rowOff>101600</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rotWithShape="1">
        <a:blip xmlns:r="http://schemas.openxmlformats.org/officeDocument/2006/relationships" r:embed="rId1"/>
        <a:srcRect b="23194"/>
        <a:stretch/>
      </xdr:blipFill>
      <xdr:spPr>
        <a:xfrm>
          <a:off x="6334125" y="73026"/>
          <a:ext cx="3457225" cy="59372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57150</xdr:colOff>
          <xdr:row>49</xdr:row>
          <xdr:rowOff>0</xdr:rowOff>
        </xdr:from>
        <xdr:to>
          <xdr:col>3</xdr:col>
          <xdr:colOff>285750</xdr:colOff>
          <xdr:row>52</xdr:row>
          <xdr:rowOff>38100</xdr:rowOff>
        </xdr:to>
        <xdr:sp macro="" textlink="">
          <xdr:nvSpPr>
            <xdr:cNvPr id="48661" name="Group Box 533" hidden="1">
              <a:extLst>
                <a:ext uri="{63B3BB69-23CF-44E3-9099-C40C66FF867C}">
                  <a14:compatExt spid="_x0000_s48661"/>
                </a:ext>
                <a:ext uri="{FF2B5EF4-FFF2-40B4-BE49-F238E27FC236}">
                  <a16:creationId xmlns:a16="http://schemas.microsoft.com/office/drawing/2014/main" id="{00000000-0008-0000-0B00-000015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US" sz="800" b="0" i="0" u="none" strike="noStrike" baseline="0">
                  <a:solidFill>
                    <a:srgbClr val="000000"/>
                  </a:solidFill>
                  <a:latin typeface="Segoe UI"/>
                  <a:cs typeface="Segoe UI"/>
                </a:rPr>
                <a:t>Group Box 528</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editAs="oneCell">
    <xdr:from>
      <xdr:col>39</xdr:col>
      <xdr:colOff>0</xdr:colOff>
      <xdr:row>17</xdr:row>
      <xdr:rowOff>0</xdr:rowOff>
    </xdr:from>
    <xdr:to>
      <xdr:col>45</xdr:col>
      <xdr:colOff>30138</xdr:colOff>
      <xdr:row>59</xdr:row>
      <xdr:rowOff>182314</xdr:rowOff>
    </xdr:to>
    <xdr:pic>
      <xdr:nvPicPr>
        <xdr:cNvPr id="2" name="Picture 1">
          <a:extLst>
            <a:ext uri="{FF2B5EF4-FFF2-40B4-BE49-F238E27FC236}">
              <a16:creationId xmlns:a16="http://schemas.microsoft.com/office/drawing/2014/main" id="{60183913-880A-40E2-932F-FB2C3F9BBBCC}"/>
            </a:ext>
          </a:extLst>
        </xdr:cNvPr>
        <xdr:cNvPicPr>
          <a:picLocks noChangeAspect="1"/>
        </xdr:cNvPicPr>
      </xdr:nvPicPr>
      <xdr:blipFill>
        <a:blip xmlns:r="http://schemas.openxmlformats.org/officeDocument/2006/relationships" r:embed="rId1"/>
        <a:stretch>
          <a:fillRect/>
        </a:stretch>
      </xdr:blipFill>
      <xdr:spPr>
        <a:xfrm>
          <a:off x="47958375" y="3000375"/>
          <a:ext cx="6373789" cy="773964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9525</xdr:colOff>
      <xdr:row>13</xdr:row>
      <xdr:rowOff>9525</xdr:rowOff>
    </xdr:from>
    <xdr:to>
      <xdr:col>11</xdr:col>
      <xdr:colOff>123825</xdr:colOff>
      <xdr:row>19</xdr:row>
      <xdr:rowOff>590550</xdr:rowOff>
    </xdr:to>
    <xdr:pic>
      <xdr:nvPicPr>
        <xdr:cNvPr id="6" name="Picture 5">
          <a:extLst>
            <a:ext uri="{FF2B5EF4-FFF2-40B4-BE49-F238E27FC236}">
              <a16:creationId xmlns:a16="http://schemas.microsoft.com/office/drawing/2014/main" id="{00000000-0008-0000-0F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2800350"/>
          <a:ext cx="7324725" cy="1743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247650</xdr:colOff>
      <xdr:row>10</xdr:row>
      <xdr:rowOff>38100</xdr:rowOff>
    </xdr:from>
    <xdr:to>
      <xdr:col>30</xdr:col>
      <xdr:colOff>257175</xdr:colOff>
      <xdr:row>17</xdr:row>
      <xdr:rowOff>28575</xdr:rowOff>
    </xdr:to>
    <xdr:pic>
      <xdr:nvPicPr>
        <xdr:cNvPr id="7" name="Picture 6">
          <a:extLst>
            <a:ext uri="{FF2B5EF4-FFF2-40B4-BE49-F238E27FC236}">
              <a16:creationId xmlns:a16="http://schemas.microsoft.com/office/drawing/2014/main" id="{00000000-0008-0000-0F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82050" y="2162175"/>
          <a:ext cx="14468475" cy="1352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533400</xdr:colOff>
      <xdr:row>19</xdr:row>
      <xdr:rowOff>438150</xdr:rowOff>
    </xdr:from>
    <xdr:to>
      <xdr:col>43</xdr:col>
      <xdr:colOff>330503</xdr:colOff>
      <xdr:row>24</xdr:row>
      <xdr:rowOff>133350</xdr:rowOff>
    </xdr:to>
    <xdr:pic>
      <xdr:nvPicPr>
        <xdr:cNvPr id="5" name="Picture 4">
          <a:extLst>
            <a:ext uri="{FF2B5EF4-FFF2-40B4-BE49-F238E27FC236}">
              <a16:creationId xmlns:a16="http://schemas.microsoft.com/office/drawing/2014/main" id="{00000000-0008-0000-0F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136350" y="4286250"/>
          <a:ext cx="10372725" cy="1552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48</xdr:col>
      <xdr:colOff>0</xdr:colOff>
      <xdr:row>10</xdr:row>
      <xdr:rowOff>0</xdr:rowOff>
    </xdr:from>
    <xdr:to>
      <xdr:col>64</xdr:col>
      <xdr:colOff>9524</xdr:colOff>
      <xdr:row>17</xdr:row>
      <xdr:rowOff>76200</xdr:rowOff>
    </xdr:to>
    <xdr:pic>
      <xdr:nvPicPr>
        <xdr:cNvPr id="21" name="Picture 20">
          <a:extLst>
            <a:ext uri="{FF2B5EF4-FFF2-40B4-BE49-F238E27FC236}">
              <a16:creationId xmlns:a16="http://schemas.microsoft.com/office/drawing/2014/main" id="{00000000-0008-0000-0F00-00001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661850" y="2209800"/>
          <a:ext cx="14754225" cy="143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11</xdr:row>
      <xdr:rowOff>0</xdr:rowOff>
    </xdr:from>
    <xdr:to>
      <xdr:col>44</xdr:col>
      <xdr:colOff>164647</xdr:colOff>
      <xdr:row>19</xdr:row>
      <xdr:rowOff>276225</xdr:rowOff>
    </xdr:to>
    <xdr:pic>
      <xdr:nvPicPr>
        <xdr:cNvPr id="14" name="Picture 13">
          <a:extLst>
            <a:ext uri="{FF2B5EF4-FFF2-40B4-BE49-F238E27FC236}">
              <a16:creationId xmlns:a16="http://schemas.microsoft.com/office/drawing/2014/main" id="{00000000-0008-0000-0F00-00000E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5326975" y="2400300"/>
          <a:ext cx="11182350" cy="1828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11</xdr:row>
      <xdr:rowOff>0</xdr:rowOff>
    </xdr:from>
    <xdr:to>
      <xdr:col>79</xdr:col>
      <xdr:colOff>9526</xdr:colOff>
      <xdr:row>19</xdr:row>
      <xdr:rowOff>276225</xdr:rowOff>
    </xdr:to>
    <xdr:pic>
      <xdr:nvPicPr>
        <xdr:cNvPr id="16" name="Picture 15">
          <a:extLst>
            <a:ext uri="{FF2B5EF4-FFF2-40B4-BE49-F238E27FC236}">
              <a16:creationId xmlns:a16="http://schemas.microsoft.com/office/drawing/2014/main" id="{00000000-0008-0000-0F00-000010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6445150" y="2400300"/>
          <a:ext cx="9401175" cy="1828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20</xdr:row>
      <xdr:rowOff>0</xdr:rowOff>
    </xdr:from>
    <xdr:to>
      <xdr:col>13</xdr:col>
      <xdr:colOff>9525</xdr:colOff>
      <xdr:row>29</xdr:row>
      <xdr:rowOff>63500</xdr:rowOff>
    </xdr:to>
    <xdr:pic>
      <xdr:nvPicPr>
        <xdr:cNvPr id="19" name="Picture 18">
          <a:extLst>
            <a:ext uri="{FF2B5EF4-FFF2-40B4-BE49-F238E27FC236}">
              <a16:creationId xmlns:a16="http://schemas.microsoft.com/office/drawing/2014/main" id="{00000000-0008-0000-0F00-000013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09600" y="5000625"/>
          <a:ext cx="9239250" cy="1828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28</xdr:row>
      <xdr:rowOff>0</xdr:rowOff>
    </xdr:from>
    <xdr:to>
      <xdr:col>45</xdr:col>
      <xdr:colOff>6350</xdr:colOff>
      <xdr:row>37</xdr:row>
      <xdr:rowOff>158750</xdr:rowOff>
    </xdr:to>
    <xdr:pic>
      <xdr:nvPicPr>
        <xdr:cNvPr id="10" name="Picture 9">
          <a:extLst>
            <a:ext uri="{FF2B5EF4-FFF2-40B4-BE49-F238E27FC236}">
              <a16:creationId xmlns:a16="http://schemas.microsoft.com/office/drawing/2014/main" id="{00000000-0008-0000-0F00-00000A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6949400" y="6343650"/>
          <a:ext cx="12598400" cy="181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12700</xdr:colOff>
          <xdr:row>28</xdr:row>
          <xdr:rowOff>69850</xdr:rowOff>
        </xdr:from>
        <xdr:to>
          <xdr:col>7</xdr:col>
          <xdr:colOff>152400</xdr:colOff>
          <xdr:row>31</xdr:row>
          <xdr:rowOff>0</xdr:rowOff>
        </xdr:to>
        <xdr:sp macro="" textlink="">
          <xdr:nvSpPr>
            <xdr:cNvPr id="10243" name="Group Box 3" hidden="1">
              <a:extLst>
                <a:ext uri="{63B3BB69-23CF-44E3-9099-C40C66FF867C}">
                  <a14:compatExt spid="_x0000_s10243"/>
                </a:ext>
                <a:ext uri="{FF2B5EF4-FFF2-40B4-BE49-F238E27FC236}">
                  <a16:creationId xmlns:a16="http://schemas.microsoft.com/office/drawing/2014/main" id="{00000000-0008-0000-1200-000003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584200</xdr:colOff>
          <xdr:row>66</xdr:row>
          <xdr:rowOff>0</xdr:rowOff>
        </xdr:from>
        <xdr:to>
          <xdr:col>6</xdr:col>
          <xdr:colOff>0</xdr:colOff>
          <xdr:row>67</xdr:row>
          <xdr:rowOff>0</xdr:rowOff>
        </xdr:to>
        <xdr:sp macro="" textlink="">
          <xdr:nvSpPr>
            <xdr:cNvPr id="10277" name="Option Button 37" hidden="1">
              <a:extLst>
                <a:ext uri="{63B3BB69-23CF-44E3-9099-C40C66FF867C}">
                  <a14:compatExt spid="_x0000_s10277"/>
                </a:ext>
                <a:ext uri="{FF2B5EF4-FFF2-40B4-BE49-F238E27FC236}">
                  <a16:creationId xmlns:a16="http://schemas.microsoft.com/office/drawing/2014/main" id="{00000000-0008-0000-12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374650</xdr:colOff>
          <xdr:row>66</xdr:row>
          <xdr:rowOff>0</xdr:rowOff>
        </xdr:from>
        <xdr:to>
          <xdr:col>6</xdr:col>
          <xdr:colOff>571500</xdr:colOff>
          <xdr:row>68</xdr:row>
          <xdr:rowOff>152400</xdr:rowOff>
        </xdr:to>
        <xdr:sp macro="" textlink="">
          <xdr:nvSpPr>
            <xdr:cNvPr id="10278" name="Group Box 38" hidden="1">
              <a:extLst>
                <a:ext uri="{63B3BB69-23CF-44E3-9099-C40C66FF867C}">
                  <a14:compatExt spid="_x0000_s10278"/>
                </a:ext>
                <a:ext uri="{FF2B5EF4-FFF2-40B4-BE49-F238E27FC236}">
                  <a16:creationId xmlns:a16="http://schemas.microsoft.com/office/drawing/2014/main" id="{00000000-0008-0000-1200-000026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469900</xdr:colOff>
          <xdr:row>66</xdr:row>
          <xdr:rowOff>0</xdr:rowOff>
        </xdr:from>
        <xdr:to>
          <xdr:col>5</xdr:col>
          <xdr:colOff>57150</xdr:colOff>
          <xdr:row>67</xdr:row>
          <xdr:rowOff>69850</xdr:rowOff>
        </xdr:to>
        <xdr:sp macro="" textlink="">
          <xdr:nvSpPr>
            <xdr:cNvPr id="10280" name="Option Button 40" hidden="1">
              <a:extLst>
                <a:ext uri="{63B3BB69-23CF-44E3-9099-C40C66FF867C}">
                  <a14:compatExt spid="_x0000_s10280"/>
                </a:ext>
                <a:ext uri="{FF2B5EF4-FFF2-40B4-BE49-F238E27FC236}">
                  <a16:creationId xmlns:a16="http://schemas.microsoft.com/office/drawing/2014/main" id="{00000000-0008-0000-12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584200</xdr:colOff>
          <xdr:row>66</xdr:row>
          <xdr:rowOff>0</xdr:rowOff>
        </xdr:from>
        <xdr:to>
          <xdr:col>6</xdr:col>
          <xdr:colOff>0</xdr:colOff>
          <xdr:row>67</xdr:row>
          <xdr:rowOff>0</xdr:rowOff>
        </xdr:to>
        <xdr:sp macro="" textlink="">
          <xdr:nvSpPr>
            <xdr:cNvPr id="10281" name="Option Button 41" hidden="1">
              <a:extLst>
                <a:ext uri="{63B3BB69-23CF-44E3-9099-C40C66FF867C}">
                  <a14:compatExt spid="_x0000_s10281"/>
                </a:ext>
                <a:ext uri="{FF2B5EF4-FFF2-40B4-BE49-F238E27FC236}">
                  <a16:creationId xmlns:a16="http://schemas.microsoft.com/office/drawing/2014/main" id="{00000000-0008-0000-12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1060450</xdr:colOff>
          <xdr:row>39</xdr:row>
          <xdr:rowOff>50800</xdr:rowOff>
        </xdr:from>
        <xdr:to>
          <xdr:col>6</xdr:col>
          <xdr:colOff>0</xdr:colOff>
          <xdr:row>40</xdr:row>
          <xdr:rowOff>50800</xdr:rowOff>
        </xdr:to>
        <xdr:sp macro="" textlink="">
          <xdr:nvSpPr>
            <xdr:cNvPr id="10292" name="Option Button 52" hidden="1">
              <a:extLst>
                <a:ext uri="{63B3BB69-23CF-44E3-9099-C40C66FF867C}">
                  <a14:compatExt spid="_x0000_s10292"/>
                </a:ext>
                <a:ext uri="{FF2B5EF4-FFF2-40B4-BE49-F238E27FC236}">
                  <a16:creationId xmlns:a16="http://schemas.microsoft.com/office/drawing/2014/main" id="{00000000-0008-0000-12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WEIGH 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1022350</xdr:colOff>
          <xdr:row>38</xdr:row>
          <xdr:rowOff>165100</xdr:rowOff>
        </xdr:from>
        <xdr:to>
          <xdr:col>6</xdr:col>
          <xdr:colOff>152400</xdr:colOff>
          <xdr:row>40</xdr:row>
          <xdr:rowOff>88900</xdr:rowOff>
        </xdr:to>
        <xdr:sp macro="" textlink="">
          <xdr:nvSpPr>
            <xdr:cNvPr id="10293" name="Option Button 53" hidden="1">
              <a:extLst>
                <a:ext uri="{63B3BB69-23CF-44E3-9099-C40C66FF867C}">
                  <a14:compatExt spid="_x0000_s10293"/>
                </a:ext>
                <a:ext uri="{FF2B5EF4-FFF2-40B4-BE49-F238E27FC236}">
                  <a16:creationId xmlns:a16="http://schemas.microsoft.com/office/drawing/2014/main" id="{00000000-0008-0000-12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SUPERHEAT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546100</xdr:colOff>
          <xdr:row>38</xdr:row>
          <xdr:rowOff>190500</xdr:rowOff>
        </xdr:from>
        <xdr:to>
          <xdr:col>4</xdr:col>
          <xdr:colOff>647700</xdr:colOff>
          <xdr:row>40</xdr:row>
          <xdr:rowOff>50800</xdr:rowOff>
        </xdr:to>
        <xdr:sp macro="" textlink="">
          <xdr:nvSpPr>
            <xdr:cNvPr id="10294" name="Option Button 54" hidden="1">
              <a:extLst>
                <a:ext uri="{63B3BB69-23CF-44E3-9099-C40C66FF867C}">
                  <a14:compatExt spid="_x0000_s10294"/>
                </a:ext>
                <a:ext uri="{FF2B5EF4-FFF2-40B4-BE49-F238E27FC236}">
                  <a16:creationId xmlns:a16="http://schemas.microsoft.com/office/drawing/2014/main" id="{00000000-0008-0000-12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SUBCOOLING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1155700</xdr:colOff>
          <xdr:row>9</xdr:row>
          <xdr:rowOff>393700</xdr:rowOff>
        </xdr:from>
        <xdr:to>
          <xdr:col>2</xdr:col>
          <xdr:colOff>628650</xdr:colOff>
          <xdr:row>12</xdr:row>
          <xdr:rowOff>0</xdr:rowOff>
        </xdr:to>
        <xdr:sp macro="" textlink="">
          <xdr:nvSpPr>
            <xdr:cNvPr id="10544" name="Group Box 304" hidden="1">
              <a:extLst>
                <a:ext uri="{63B3BB69-23CF-44E3-9099-C40C66FF867C}">
                  <a14:compatExt spid="_x0000_s10544"/>
                </a:ext>
                <a:ext uri="{FF2B5EF4-FFF2-40B4-BE49-F238E27FC236}">
                  <a16:creationId xmlns:a16="http://schemas.microsoft.com/office/drawing/2014/main" id="{00000000-0008-0000-1200-0000302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9</xdr:row>
          <xdr:rowOff>342900</xdr:rowOff>
        </xdr:from>
        <xdr:to>
          <xdr:col>4</xdr:col>
          <xdr:colOff>590550</xdr:colOff>
          <xdr:row>12</xdr:row>
          <xdr:rowOff>0</xdr:rowOff>
        </xdr:to>
        <xdr:sp macro="" textlink="">
          <xdr:nvSpPr>
            <xdr:cNvPr id="10545" name="Group Box 305" hidden="1">
              <a:extLst>
                <a:ext uri="{63B3BB69-23CF-44E3-9099-C40C66FF867C}">
                  <a14:compatExt spid="_x0000_s10545"/>
                </a:ext>
                <a:ext uri="{FF2B5EF4-FFF2-40B4-BE49-F238E27FC236}">
                  <a16:creationId xmlns:a16="http://schemas.microsoft.com/office/drawing/2014/main" id="{00000000-0008-0000-1200-0000312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20</xdr:row>
          <xdr:rowOff>146050</xdr:rowOff>
        </xdr:from>
        <xdr:to>
          <xdr:col>6</xdr:col>
          <xdr:colOff>190500</xdr:colOff>
          <xdr:row>21</xdr:row>
          <xdr:rowOff>165100</xdr:rowOff>
        </xdr:to>
        <xdr:sp macro="" textlink="">
          <xdr:nvSpPr>
            <xdr:cNvPr id="10546" name="Option Button 306" hidden="1">
              <a:extLst>
                <a:ext uri="{63B3BB69-23CF-44E3-9099-C40C66FF867C}">
                  <a14:compatExt spid="_x0000_s10546"/>
                </a:ext>
                <a:ext uri="{FF2B5EF4-FFF2-40B4-BE49-F238E27FC236}">
                  <a16:creationId xmlns:a16="http://schemas.microsoft.com/office/drawing/2014/main" id="{00000000-0008-0000-1200-000032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Dry Coil (blower only, fan on cooling speed)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146050</xdr:rowOff>
        </xdr:from>
        <xdr:to>
          <xdr:col>9</xdr:col>
          <xdr:colOff>0</xdr:colOff>
          <xdr:row>21</xdr:row>
          <xdr:rowOff>165100</xdr:rowOff>
        </xdr:to>
        <xdr:sp macro="" textlink="">
          <xdr:nvSpPr>
            <xdr:cNvPr id="10547" name="Option Button 307" hidden="1">
              <a:extLst>
                <a:ext uri="{63B3BB69-23CF-44E3-9099-C40C66FF867C}">
                  <a14:compatExt spid="_x0000_s10547"/>
                </a:ext>
                <a:ext uri="{FF2B5EF4-FFF2-40B4-BE49-F238E27FC236}">
                  <a16:creationId xmlns:a16="http://schemas.microsoft.com/office/drawing/2014/main" id="{00000000-0008-0000-1200-000033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Wet Coil (entire A/C unit operating)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850900</xdr:colOff>
          <xdr:row>66</xdr:row>
          <xdr:rowOff>0</xdr:rowOff>
        </xdr:from>
        <xdr:to>
          <xdr:col>1</xdr:col>
          <xdr:colOff>469900</xdr:colOff>
          <xdr:row>67</xdr:row>
          <xdr:rowOff>76200</xdr:rowOff>
        </xdr:to>
        <xdr:sp macro="" textlink="">
          <xdr:nvSpPr>
            <xdr:cNvPr id="10549" name="Option Button 309" hidden="1">
              <a:extLst>
                <a:ext uri="{63B3BB69-23CF-44E3-9099-C40C66FF867C}">
                  <a14:compatExt spid="_x0000_s10549"/>
                </a:ext>
                <a:ext uri="{FF2B5EF4-FFF2-40B4-BE49-F238E27FC236}">
                  <a16:creationId xmlns:a16="http://schemas.microsoft.com/office/drawing/2014/main" id="{00000000-0008-0000-1200-000035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R-22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66</xdr:row>
          <xdr:rowOff>0</xdr:rowOff>
        </xdr:from>
        <xdr:to>
          <xdr:col>3</xdr:col>
          <xdr:colOff>323850</xdr:colOff>
          <xdr:row>68</xdr:row>
          <xdr:rowOff>0</xdr:rowOff>
        </xdr:to>
        <xdr:sp macro="" textlink="">
          <xdr:nvSpPr>
            <xdr:cNvPr id="10550" name="Option Button 310" hidden="1">
              <a:extLst>
                <a:ext uri="{63B3BB69-23CF-44E3-9099-C40C66FF867C}">
                  <a14:compatExt spid="_x0000_s10550"/>
                </a:ext>
                <a:ext uri="{FF2B5EF4-FFF2-40B4-BE49-F238E27FC236}">
                  <a16:creationId xmlns:a16="http://schemas.microsoft.com/office/drawing/2014/main" id="{00000000-0008-0000-1200-000036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R-410A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1250950</xdr:colOff>
          <xdr:row>66</xdr:row>
          <xdr:rowOff>0</xdr:rowOff>
        </xdr:from>
        <xdr:to>
          <xdr:col>4</xdr:col>
          <xdr:colOff>342900</xdr:colOff>
          <xdr:row>68</xdr:row>
          <xdr:rowOff>12700</xdr:rowOff>
        </xdr:to>
        <xdr:sp macro="" textlink="">
          <xdr:nvSpPr>
            <xdr:cNvPr id="10551" name="Option Button 311" hidden="1">
              <a:extLst>
                <a:ext uri="{63B3BB69-23CF-44E3-9099-C40C66FF867C}">
                  <a14:compatExt spid="_x0000_s10551"/>
                </a:ext>
                <a:ext uri="{FF2B5EF4-FFF2-40B4-BE49-F238E27FC236}">
                  <a16:creationId xmlns:a16="http://schemas.microsoft.com/office/drawing/2014/main" id="{00000000-0008-0000-1200-000037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685800</xdr:colOff>
          <xdr:row>66</xdr:row>
          <xdr:rowOff>0</xdr:rowOff>
        </xdr:from>
        <xdr:to>
          <xdr:col>4</xdr:col>
          <xdr:colOff>317500</xdr:colOff>
          <xdr:row>70</xdr:row>
          <xdr:rowOff>0</xdr:rowOff>
        </xdr:to>
        <xdr:sp macro="" textlink="">
          <xdr:nvSpPr>
            <xdr:cNvPr id="10552" name="Group Box 312" hidden="1">
              <a:extLst>
                <a:ext uri="{63B3BB69-23CF-44E3-9099-C40C66FF867C}">
                  <a14:compatExt spid="_x0000_s10552"/>
                </a:ext>
                <a:ext uri="{FF2B5EF4-FFF2-40B4-BE49-F238E27FC236}">
                  <a16:creationId xmlns:a16="http://schemas.microsoft.com/office/drawing/2014/main" id="{00000000-0008-0000-1200-0000382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793750</xdr:colOff>
          <xdr:row>38</xdr:row>
          <xdr:rowOff>69850</xdr:rowOff>
        </xdr:from>
        <xdr:to>
          <xdr:col>8</xdr:col>
          <xdr:colOff>495300</xdr:colOff>
          <xdr:row>41</xdr:row>
          <xdr:rowOff>146050</xdr:rowOff>
        </xdr:to>
        <xdr:sp macro="" textlink="">
          <xdr:nvSpPr>
            <xdr:cNvPr id="10553" name="Group Box 313" hidden="1">
              <a:extLst>
                <a:ext uri="{63B3BB69-23CF-44E3-9099-C40C66FF867C}">
                  <a14:compatExt spid="_x0000_s10553"/>
                </a:ext>
                <a:ext uri="{FF2B5EF4-FFF2-40B4-BE49-F238E27FC236}">
                  <a16:creationId xmlns:a16="http://schemas.microsoft.com/office/drawing/2014/main" id="{00000000-0008-0000-1200-0000392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66</xdr:row>
          <xdr:rowOff>0</xdr:rowOff>
        </xdr:from>
        <xdr:to>
          <xdr:col>6</xdr:col>
          <xdr:colOff>419100</xdr:colOff>
          <xdr:row>69</xdr:row>
          <xdr:rowOff>95250</xdr:rowOff>
        </xdr:to>
        <xdr:sp macro="" textlink="">
          <xdr:nvSpPr>
            <xdr:cNvPr id="10555" name="Group Box 315" hidden="1">
              <a:extLst>
                <a:ext uri="{63B3BB69-23CF-44E3-9099-C40C66FF867C}">
                  <a14:compatExt spid="_x0000_s10555"/>
                </a:ext>
                <a:ext uri="{FF2B5EF4-FFF2-40B4-BE49-F238E27FC236}">
                  <a16:creationId xmlns:a16="http://schemas.microsoft.com/office/drawing/2014/main" id="{00000000-0008-0000-1200-00003B2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70</xdr:row>
          <xdr:rowOff>88900</xdr:rowOff>
        </xdr:from>
        <xdr:to>
          <xdr:col>2</xdr:col>
          <xdr:colOff>355600</xdr:colOff>
          <xdr:row>73</xdr:row>
          <xdr:rowOff>88900</xdr:rowOff>
        </xdr:to>
        <xdr:sp macro="" textlink="">
          <xdr:nvSpPr>
            <xdr:cNvPr id="10557" name="Option Button 317" hidden="1">
              <a:extLst>
                <a:ext uri="{63B3BB69-23CF-44E3-9099-C40C66FF867C}">
                  <a14:compatExt spid="_x0000_s10557"/>
                </a:ext>
                <a:ext uri="{FF2B5EF4-FFF2-40B4-BE49-F238E27FC236}">
                  <a16:creationId xmlns:a16="http://schemas.microsoft.com/office/drawing/2014/main" id="{00000000-0008-0000-1200-00003D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R-410A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431800</xdr:colOff>
          <xdr:row>70</xdr:row>
          <xdr:rowOff>69850</xdr:rowOff>
        </xdr:from>
        <xdr:to>
          <xdr:col>4</xdr:col>
          <xdr:colOff>317500</xdr:colOff>
          <xdr:row>74</xdr:row>
          <xdr:rowOff>50800</xdr:rowOff>
        </xdr:to>
        <xdr:sp macro="" textlink="">
          <xdr:nvSpPr>
            <xdr:cNvPr id="10559" name="Group Box 319" hidden="1">
              <a:extLst>
                <a:ext uri="{63B3BB69-23CF-44E3-9099-C40C66FF867C}">
                  <a14:compatExt spid="_x0000_s10559"/>
                </a:ext>
                <a:ext uri="{FF2B5EF4-FFF2-40B4-BE49-F238E27FC236}">
                  <a16:creationId xmlns:a16="http://schemas.microsoft.com/office/drawing/2014/main" id="{00000000-0008-0000-1200-00003F2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45</xdr:row>
          <xdr:rowOff>38100</xdr:rowOff>
        </xdr:from>
        <xdr:to>
          <xdr:col>2</xdr:col>
          <xdr:colOff>355600</xdr:colOff>
          <xdr:row>47</xdr:row>
          <xdr:rowOff>127000</xdr:rowOff>
        </xdr:to>
        <xdr:sp macro="" textlink="">
          <xdr:nvSpPr>
            <xdr:cNvPr id="10561" name="Option Button 321" hidden="1">
              <a:extLst>
                <a:ext uri="{63B3BB69-23CF-44E3-9099-C40C66FF867C}">
                  <a14:compatExt spid="_x0000_s10561"/>
                </a:ext>
                <a:ext uri="{FF2B5EF4-FFF2-40B4-BE49-F238E27FC236}">
                  <a16:creationId xmlns:a16="http://schemas.microsoft.com/office/drawing/2014/main" id="{00000000-0008-0000-1200-000041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R-410A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476250</xdr:colOff>
          <xdr:row>125</xdr:row>
          <xdr:rowOff>69850</xdr:rowOff>
        </xdr:from>
        <xdr:to>
          <xdr:col>4</xdr:col>
          <xdr:colOff>317500</xdr:colOff>
          <xdr:row>130</xdr:row>
          <xdr:rowOff>133350</xdr:rowOff>
        </xdr:to>
        <xdr:sp macro="" textlink="">
          <xdr:nvSpPr>
            <xdr:cNvPr id="10563" name="Group Box 323" hidden="1">
              <a:extLst>
                <a:ext uri="{63B3BB69-23CF-44E3-9099-C40C66FF867C}">
                  <a14:compatExt spid="_x0000_s10563"/>
                </a:ext>
                <a:ext uri="{FF2B5EF4-FFF2-40B4-BE49-F238E27FC236}">
                  <a16:creationId xmlns:a16="http://schemas.microsoft.com/office/drawing/2014/main" id="{00000000-0008-0000-1200-0000432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107950</xdr:colOff>
          <xdr:row>122</xdr:row>
          <xdr:rowOff>133350</xdr:rowOff>
        </xdr:from>
        <xdr:to>
          <xdr:col>14</xdr:col>
          <xdr:colOff>482600</xdr:colOff>
          <xdr:row>125</xdr:row>
          <xdr:rowOff>95250</xdr:rowOff>
        </xdr:to>
        <xdr:sp macro="" textlink="">
          <xdr:nvSpPr>
            <xdr:cNvPr id="10955" name="CommandButton1" hidden="1">
              <a:extLst>
                <a:ext uri="{63B3BB69-23CF-44E3-9099-C40C66FF867C}">
                  <a14:compatExt spid="_x0000_s10955"/>
                </a:ext>
                <a:ext uri="{FF2B5EF4-FFF2-40B4-BE49-F238E27FC236}">
                  <a16:creationId xmlns:a16="http://schemas.microsoft.com/office/drawing/2014/main" id="{00000000-0008-0000-1200-0000CB2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488950</xdr:colOff>
          <xdr:row>22</xdr:row>
          <xdr:rowOff>69850</xdr:rowOff>
        </xdr:from>
        <xdr:to>
          <xdr:col>9</xdr:col>
          <xdr:colOff>222250</xdr:colOff>
          <xdr:row>22</xdr:row>
          <xdr:rowOff>266700</xdr:rowOff>
        </xdr:to>
        <xdr:sp macro="" textlink="">
          <xdr:nvSpPr>
            <xdr:cNvPr id="10959" name="Check Box 719" hidden="1">
              <a:extLst>
                <a:ext uri="{63B3BB69-23CF-44E3-9099-C40C66FF867C}">
                  <a14:compatExt spid="_x0000_s10959"/>
                </a:ext>
                <a:ext uri="{FF2B5EF4-FFF2-40B4-BE49-F238E27FC236}">
                  <a16:creationId xmlns:a16="http://schemas.microsoft.com/office/drawing/2014/main" id="{00000000-0008-0000-1200-0000CF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Existing Ductwork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355600</xdr:colOff>
          <xdr:row>22</xdr:row>
          <xdr:rowOff>50800</xdr:rowOff>
        </xdr:from>
        <xdr:to>
          <xdr:col>11</xdr:col>
          <xdr:colOff>0</xdr:colOff>
          <xdr:row>23</xdr:row>
          <xdr:rowOff>0</xdr:rowOff>
        </xdr:to>
        <xdr:sp macro="" textlink="">
          <xdr:nvSpPr>
            <xdr:cNvPr id="10960" name="Check Box 720" hidden="1">
              <a:extLst>
                <a:ext uri="{63B3BB69-23CF-44E3-9099-C40C66FF867C}">
                  <a14:compatExt spid="_x0000_s10960"/>
                </a:ext>
                <a:ext uri="{FF2B5EF4-FFF2-40B4-BE49-F238E27FC236}">
                  <a16:creationId xmlns:a16="http://schemas.microsoft.com/office/drawing/2014/main" id="{00000000-0008-0000-1200-0000D0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Variable Speed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9</xdr:row>
          <xdr:rowOff>241300</xdr:rowOff>
        </xdr:from>
        <xdr:to>
          <xdr:col>1</xdr:col>
          <xdr:colOff>666750</xdr:colOff>
          <xdr:row>10</xdr:row>
          <xdr:rowOff>165100</xdr:rowOff>
        </xdr:to>
        <xdr:sp macro="" textlink="">
          <xdr:nvSpPr>
            <xdr:cNvPr id="11022" name="Check Box 782" hidden="1">
              <a:extLst>
                <a:ext uri="{63B3BB69-23CF-44E3-9099-C40C66FF867C}">
                  <a14:compatExt spid="_x0000_s11022"/>
                </a:ext>
                <a:ext uri="{FF2B5EF4-FFF2-40B4-BE49-F238E27FC236}">
                  <a16:creationId xmlns:a16="http://schemas.microsoft.com/office/drawing/2014/main" id="{00000000-0008-0000-1200-00000E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488950</xdr:colOff>
          <xdr:row>9</xdr:row>
          <xdr:rowOff>222250</xdr:rowOff>
        </xdr:from>
        <xdr:to>
          <xdr:col>2</xdr:col>
          <xdr:colOff>374650</xdr:colOff>
          <xdr:row>10</xdr:row>
          <xdr:rowOff>171450</xdr:rowOff>
        </xdr:to>
        <xdr:sp macro="" textlink="">
          <xdr:nvSpPr>
            <xdr:cNvPr id="11023" name="Check Box 783" hidden="1">
              <a:extLst>
                <a:ext uri="{63B3BB69-23CF-44E3-9099-C40C66FF867C}">
                  <a14:compatExt spid="_x0000_s11023"/>
                </a:ext>
                <a:ext uri="{FF2B5EF4-FFF2-40B4-BE49-F238E27FC236}">
                  <a16:creationId xmlns:a16="http://schemas.microsoft.com/office/drawing/2014/main" id="{00000000-0008-0000-1200-00000F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9</xdr:row>
          <xdr:rowOff>203200</xdr:rowOff>
        </xdr:from>
        <xdr:to>
          <xdr:col>3</xdr:col>
          <xdr:colOff>984250</xdr:colOff>
          <xdr:row>11</xdr:row>
          <xdr:rowOff>0</xdr:rowOff>
        </xdr:to>
        <xdr:sp macro="" textlink="">
          <xdr:nvSpPr>
            <xdr:cNvPr id="11024" name="Check Box 784" hidden="1">
              <a:extLst>
                <a:ext uri="{63B3BB69-23CF-44E3-9099-C40C66FF867C}">
                  <a14:compatExt spid="_x0000_s11024"/>
                </a:ext>
                <a:ext uri="{FF2B5EF4-FFF2-40B4-BE49-F238E27FC236}">
                  <a16:creationId xmlns:a16="http://schemas.microsoft.com/office/drawing/2014/main" id="{00000000-0008-0000-1200-000010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565150</xdr:colOff>
          <xdr:row>9</xdr:row>
          <xdr:rowOff>266700</xdr:rowOff>
        </xdr:from>
        <xdr:to>
          <xdr:col>3</xdr:col>
          <xdr:colOff>1003300</xdr:colOff>
          <xdr:row>10</xdr:row>
          <xdr:rowOff>241300</xdr:rowOff>
        </xdr:to>
        <xdr:sp macro="" textlink="">
          <xdr:nvSpPr>
            <xdr:cNvPr id="11025" name="Check Box 785" hidden="1">
              <a:extLst>
                <a:ext uri="{63B3BB69-23CF-44E3-9099-C40C66FF867C}">
                  <a14:compatExt spid="_x0000_s11025"/>
                </a:ext>
                <a:ext uri="{FF2B5EF4-FFF2-40B4-BE49-F238E27FC236}">
                  <a16:creationId xmlns:a16="http://schemas.microsoft.com/office/drawing/2014/main" id="{00000000-0008-0000-1200-0000112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xdr:twoCellAnchor editAs="oneCell">
    <xdr:from>
      <xdr:col>10</xdr:col>
      <xdr:colOff>696385</xdr:colOff>
      <xdr:row>0</xdr:row>
      <xdr:rowOff>270935</xdr:rowOff>
    </xdr:from>
    <xdr:to>
      <xdr:col>14</xdr:col>
      <xdr:colOff>664285</xdr:colOff>
      <xdr:row>1</xdr:row>
      <xdr:rowOff>334248</xdr:rowOff>
    </xdr:to>
    <xdr:pic>
      <xdr:nvPicPr>
        <xdr:cNvPr id="3" name="Picture 2">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a:stretch>
          <a:fillRect/>
        </a:stretch>
      </xdr:blipFill>
      <xdr:spPr>
        <a:xfrm>
          <a:off x="8845552" y="270935"/>
          <a:ext cx="3428650" cy="75546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10</xdr:col>
      <xdr:colOff>790574</xdr:colOff>
      <xdr:row>0</xdr:row>
      <xdr:rowOff>521758</xdr:rowOff>
    </xdr:from>
    <xdr:to>
      <xdr:col>14</xdr:col>
      <xdr:colOff>428624</xdr:colOff>
      <xdr:row>1</xdr:row>
      <xdr:rowOff>512233</xdr:rowOff>
    </xdr:to>
    <xdr:pic>
      <xdr:nvPicPr>
        <xdr:cNvPr id="60083" name="Picture 1">
          <a:extLst>
            <a:ext uri="{FF2B5EF4-FFF2-40B4-BE49-F238E27FC236}">
              <a16:creationId xmlns:a16="http://schemas.microsoft.com/office/drawing/2014/main" id="{00000000-0008-0000-1400-0000B3EA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82074" y="521758"/>
          <a:ext cx="3098800" cy="688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869950</xdr:colOff>
          <xdr:row>19</xdr:row>
          <xdr:rowOff>12700</xdr:rowOff>
        </xdr:from>
        <xdr:to>
          <xdr:col>6</xdr:col>
          <xdr:colOff>412750</xdr:colOff>
          <xdr:row>20</xdr:row>
          <xdr:rowOff>336550</xdr:rowOff>
        </xdr:to>
        <xdr:sp macro="" textlink="">
          <xdr:nvSpPr>
            <xdr:cNvPr id="17409" name="OptionButton1" hidden="1">
              <a:extLst>
                <a:ext uri="{63B3BB69-23CF-44E3-9099-C40C66FF867C}">
                  <a14:compatExt spid="_x0000_s17409"/>
                </a:ext>
                <a:ext uri="{FF2B5EF4-FFF2-40B4-BE49-F238E27FC236}">
                  <a16:creationId xmlns:a16="http://schemas.microsoft.com/office/drawing/2014/main" id="{00000000-0008-0000-1300-000001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12700</xdr:rowOff>
        </xdr:from>
        <xdr:to>
          <xdr:col>12</xdr:col>
          <xdr:colOff>254000</xdr:colOff>
          <xdr:row>20</xdr:row>
          <xdr:rowOff>298450</xdr:rowOff>
        </xdr:to>
        <xdr:sp macro="" textlink="">
          <xdr:nvSpPr>
            <xdr:cNvPr id="17410" name="OptionButton2" hidden="1">
              <a:extLst>
                <a:ext uri="{63B3BB69-23CF-44E3-9099-C40C66FF867C}">
                  <a14:compatExt spid="_x0000_s17410"/>
                </a:ext>
                <a:ext uri="{FF2B5EF4-FFF2-40B4-BE49-F238E27FC236}">
                  <a16:creationId xmlns:a16="http://schemas.microsoft.com/office/drawing/2014/main" id="{00000000-0008-0000-1300-000002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21</xdr:row>
          <xdr:rowOff>0</xdr:rowOff>
        </xdr:from>
        <xdr:to>
          <xdr:col>7</xdr:col>
          <xdr:colOff>76200</xdr:colOff>
          <xdr:row>22</xdr:row>
          <xdr:rowOff>298450</xdr:rowOff>
        </xdr:to>
        <xdr:sp macro="" textlink="">
          <xdr:nvSpPr>
            <xdr:cNvPr id="17411" name="Group Box 3" hidden="1">
              <a:extLst>
                <a:ext uri="{63B3BB69-23CF-44E3-9099-C40C66FF867C}">
                  <a14:compatExt spid="_x0000_s17411"/>
                </a:ext>
                <a:ext uri="{FF2B5EF4-FFF2-40B4-BE49-F238E27FC236}">
                  <a16:creationId xmlns:a16="http://schemas.microsoft.com/office/drawing/2014/main" id="{00000000-0008-0000-1300-000003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21</xdr:row>
          <xdr:rowOff>165100</xdr:rowOff>
        </xdr:from>
        <xdr:to>
          <xdr:col>9</xdr:col>
          <xdr:colOff>50800</xdr:colOff>
          <xdr:row>21</xdr:row>
          <xdr:rowOff>469900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13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Existing Ductwork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21</xdr:row>
          <xdr:rowOff>165100</xdr:rowOff>
        </xdr:from>
        <xdr:to>
          <xdr:col>10</xdr:col>
          <xdr:colOff>990600</xdr:colOff>
          <xdr:row>21</xdr:row>
          <xdr:rowOff>488950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13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Variable Speed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65</xdr:row>
          <xdr:rowOff>0</xdr:rowOff>
        </xdr:from>
        <xdr:to>
          <xdr:col>4</xdr:col>
          <xdr:colOff>260350</xdr:colOff>
          <xdr:row>69</xdr:row>
          <xdr:rowOff>152400</xdr:rowOff>
        </xdr:to>
        <xdr:sp macro="" textlink="">
          <xdr:nvSpPr>
            <xdr:cNvPr id="17417" name="Contractor_Lookup" hidden="1">
              <a:extLst>
                <a:ext uri="{63B3BB69-23CF-44E3-9099-C40C66FF867C}">
                  <a14:compatExt spid="_x0000_s17417"/>
                </a:ext>
                <a:ext uri="{FF2B5EF4-FFF2-40B4-BE49-F238E27FC236}">
                  <a16:creationId xmlns:a16="http://schemas.microsoft.com/office/drawing/2014/main" id="{00000000-0008-0000-1300-000009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65</xdr:row>
          <xdr:rowOff>0</xdr:rowOff>
        </xdr:from>
        <xdr:to>
          <xdr:col>5</xdr:col>
          <xdr:colOff>50800</xdr:colOff>
          <xdr:row>66</xdr:row>
          <xdr:rowOff>50800</xdr:rowOff>
        </xdr:to>
        <xdr:sp macro="" textlink="">
          <xdr:nvSpPr>
            <xdr:cNvPr id="17418" name="Option Button 10" hidden="1">
              <a:extLst>
                <a:ext uri="{63B3BB69-23CF-44E3-9099-C40C66FF867C}">
                  <a14:compatExt spid="_x0000_s17418"/>
                </a:ext>
                <a:ext uri="{FF2B5EF4-FFF2-40B4-BE49-F238E27FC236}">
                  <a16:creationId xmlns:a16="http://schemas.microsoft.com/office/drawing/2014/main" id="{00000000-0008-0000-13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65</xdr:row>
          <xdr:rowOff>0</xdr:rowOff>
        </xdr:from>
        <xdr:to>
          <xdr:col>6</xdr:col>
          <xdr:colOff>0</xdr:colOff>
          <xdr:row>66</xdr:row>
          <xdr:rowOff>0</xdr:rowOff>
        </xdr:to>
        <xdr:sp macro="" textlink="">
          <xdr:nvSpPr>
            <xdr:cNvPr id="17419" name="Option Button 11" hidden="1">
              <a:extLst>
                <a:ext uri="{63B3BB69-23CF-44E3-9099-C40C66FF867C}">
                  <a14:compatExt spid="_x0000_s17419"/>
                </a:ext>
                <a:ext uri="{FF2B5EF4-FFF2-40B4-BE49-F238E27FC236}">
                  <a16:creationId xmlns:a16="http://schemas.microsoft.com/office/drawing/2014/main" id="{00000000-0008-0000-13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65</xdr:row>
          <xdr:rowOff>0</xdr:rowOff>
        </xdr:from>
        <xdr:to>
          <xdr:col>6</xdr:col>
          <xdr:colOff>533400</xdr:colOff>
          <xdr:row>67</xdr:row>
          <xdr:rowOff>152400</xdr:rowOff>
        </xdr:to>
        <xdr:sp macro="" textlink="">
          <xdr:nvSpPr>
            <xdr:cNvPr id="17420" name="Group Box 12" hidden="1">
              <a:extLst>
                <a:ext uri="{63B3BB69-23CF-44E3-9099-C40C66FF867C}">
                  <a14:compatExt spid="_x0000_s17420"/>
                </a:ext>
                <a:ext uri="{FF2B5EF4-FFF2-40B4-BE49-F238E27FC236}">
                  <a16:creationId xmlns:a16="http://schemas.microsoft.com/office/drawing/2014/main" id="{00000000-0008-0000-1300-00000C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374650</xdr:colOff>
          <xdr:row>65</xdr:row>
          <xdr:rowOff>0</xdr:rowOff>
        </xdr:from>
        <xdr:to>
          <xdr:col>4</xdr:col>
          <xdr:colOff>260350</xdr:colOff>
          <xdr:row>68</xdr:row>
          <xdr:rowOff>165100</xdr:rowOff>
        </xdr:to>
        <xdr:sp macro="" textlink="">
          <xdr:nvSpPr>
            <xdr:cNvPr id="17421" name="Group Box 13" hidden="1">
              <a:extLst>
                <a:ext uri="{63B3BB69-23CF-44E3-9099-C40C66FF867C}">
                  <a14:compatExt spid="_x0000_s17421"/>
                </a:ext>
                <a:ext uri="{FF2B5EF4-FFF2-40B4-BE49-F238E27FC236}">
                  <a16:creationId xmlns:a16="http://schemas.microsoft.com/office/drawing/2014/main" id="{00000000-0008-0000-1300-00000D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65</xdr:row>
          <xdr:rowOff>0</xdr:rowOff>
        </xdr:from>
        <xdr:to>
          <xdr:col>5</xdr:col>
          <xdr:colOff>50800</xdr:colOff>
          <xdr:row>66</xdr:row>
          <xdr:rowOff>50800</xdr:rowOff>
        </xdr:to>
        <xdr:sp macro="" textlink="">
          <xdr:nvSpPr>
            <xdr:cNvPr id="17422" name="Option Button 14" hidden="1">
              <a:extLst>
                <a:ext uri="{63B3BB69-23CF-44E3-9099-C40C66FF867C}">
                  <a14:compatExt spid="_x0000_s17422"/>
                </a:ext>
                <a:ext uri="{FF2B5EF4-FFF2-40B4-BE49-F238E27FC236}">
                  <a16:creationId xmlns:a16="http://schemas.microsoft.com/office/drawing/2014/main" id="{00000000-0008-0000-13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65</xdr:row>
          <xdr:rowOff>0</xdr:rowOff>
        </xdr:from>
        <xdr:to>
          <xdr:col>6</xdr:col>
          <xdr:colOff>0</xdr:colOff>
          <xdr:row>66</xdr:row>
          <xdr:rowOff>0</xdr:rowOff>
        </xdr:to>
        <xdr:sp macro="" textlink="">
          <xdr:nvSpPr>
            <xdr:cNvPr id="17423" name="Option Button 15" hidden="1">
              <a:extLst>
                <a:ext uri="{63B3BB69-23CF-44E3-9099-C40C66FF867C}">
                  <a14:compatExt spid="_x0000_s17423"/>
                </a:ext>
                <a:ext uri="{FF2B5EF4-FFF2-40B4-BE49-F238E27FC236}">
                  <a16:creationId xmlns:a16="http://schemas.microsoft.com/office/drawing/2014/main" id="{00000000-0008-0000-13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65</xdr:row>
          <xdr:rowOff>0</xdr:rowOff>
        </xdr:from>
        <xdr:to>
          <xdr:col>6</xdr:col>
          <xdr:colOff>323850</xdr:colOff>
          <xdr:row>67</xdr:row>
          <xdr:rowOff>152400</xdr:rowOff>
        </xdr:to>
        <xdr:sp macro="" textlink="">
          <xdr:nvSpPr>
            <xdr:cNvPr id="17424" name="Group Box 16" hidden="1">
              <a:extLst>
                <a:ext uri="{63B3BB69-23CF-44E3-9099-C40C66FF867C}">
                  <a14:compatExt spid="_x0000_s17424"/>
                </a:ext>
                <a:ext uri="{FF2B5EF4-FFF2-40B4-BE49-F238E27FC236}">
                  <a16:creationId xmlns:a16="http://schemas.microsoft.com/office/drawing/2014/main" id="{00000000-0008-0000-1300-000010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70</xdr:row>
          <xdr:rowOff>0</xdr:rowOff>
        </xdr:from>
        <xdr:to>
          <xdr:col>2</xdr:col>
          <xdr:colOff>133350</xdr:colOff>
          <xdr:row>71</xdr:row>
          <xdr:rowOff>82550</xdr:rowOff>
        </xdr:to>
        <xdr:sp macro="" textlink="">
          <xdr:nvSpPr>
            <xdr:cNvPr id="17426" name="OptionButton7" hidden="1">
              <a:extLst>
                <a:ext uri="{63B3BB69-23CF-44E3-9099-C40C66FF867C}">
                  <a14:compatExt spid="_x0000_s17426"/>
                </a:ext>
                <a:ext uri="{FF2B5EF4-FFF2-40B4-BE49-F238E27FC236}">
                  <a16:creationId xmlns:a16="http://schemas.microsoft.com/office/drawing/2014/main" id="{00000000-0008-0000-1300-000012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317500</xdr:colOff>
          <xdr:row>68</xdr:row>
          <xdr:rowOff>209550</xdr:rowOff>
        </xdr:from>
        <xdr:to>
          <xdr:col>4</xdr:col>
          <xdr:colOff>260350</xdr:colOff>
          <xdr:row>72</xdr:row>
          <xdr:rowOff>12700</xdr:rowOff>
        </xdr:to>
        <xdr:sp macro="" textlink="">
          <xdr:nvSpPr>
            <xdr:cNvPr id="17428" name="Group Box 20" hidden="1">
              <a:extLst>
                <a:ext uri="{63B3BB69-23CF-44E3-9099-C40C66FF867C}">
                  <a14:compatExt spid="_x0000_s17428"/>
                </a:ext>
                <a:ext uri="{FF2B5EF4-FFF2-40B4-BE49-F238E27FC236}">
                  <a16:creationId xmlns:a16="http://schemas.microsoft.com/office/drawing/2014/main" id="{00000000-0008-0000-1300-000014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889000</xdr:colOff>
          <xdr:row>38</xdr:row>
          <xdr:rowOff>127000</xdr:rowOff>
        </xdr:from>
        <xdr:to>
          <xdr:col>3</xdr:col>
          <xdr:colOff>889000</xdr:colOff>
          <xdr:row>39</xdr:row>
          <xdr:rowOff>127000</xdr:rowOff>
        </xdr:to>
        <xdr:sp macro="" textlink="">
          <xdr:nvSpPr>
            <xdr:cNvPr id="17429" name="Option Button 21" hidden="1">
              <a:extLst>
                <a:ext uri="{63B3BB69-23CF-44E3-9099-C40C66FF867C}">
                  <a14:compatExt spid="_x0000_s17429"/>
                </a:ext>
                <a:ext uri="{FF2B5EF4-FFF2-40B4-BE49-F238E27FC236}">
                  <a16:creationId xmlns:a16="http://schemas.microsoft.com/office/drawing/2014/main" id="{00000000-0008-0000-13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WEIGH 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1155700</xdr:colOff>
          <xdr:row>38</xdr:row>
          <xdr:rowOff>12700</xdr:rowOff>
        </xdr:from>
        <xdr:to>
          <xdr:col>4</xdr:col>
          <xdr:colOff>355600</xdr:colOff>
          <xdr:row>39</xdr:row>
          <xdr:rowOff>12700</xdr:rowOff>
        </xdr:to>
        <xdr:sp macro="" textlink="">
          <xdr:nvSpPr>
            <xdr:cNvPr id="17430" name="Option Button 22" hidden="1">
              <a:extLst>
                <a:ext uri="{63B3BB69-23CF-44E3-9099-C40C66FF867C}">
                  <a14:compatExt spid="_x0000_s17430"/>
                </a:ext>
                <a:ext uri="{FF2B5EF4-FFF2-40B4-BE49-F238E27FC236}">
                  <a16:creationId xmlns:a16="http://schemas.microsoft.com/office/drawing/2014/main" id="{00000000-0008-0000-13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SUPERHEAT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38</xdr:row>
          <xdr:rowOff>12700</xdr:rowOff>
        </xdr:from>
        <xdr:to>
          <xdr:col>5</xdr:col>
          <xdr:colOff>641350</xdr:colOff>
          <xdr:row>39</xdr:row>
          <xdr:rowOff>12700</xdr:rowOff>
        </xdr:to>
        <xdr:sp macro="" textlink="">
          <xdr:nvSpPr>
            <xdr:cNvPr id="17431" name="Option Button 23" hidden="1">
              <a:extLst>
                <a:ext uri="{63B3BB69-23CF-44E3-9099-C40C66FF867C}">
                  <a14:compatExt spid="_x0000_s17431"/>
                </a:ext>
                <a:ext uri="{FF2B5EF4-FFF2-40B4-BE49-F238E27FC236}">
                  <a16:creationId xmlns:a16="http://schemas.microsoft.com/office/drawing/2014/main" id="{00000000-0008-0000-13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SUBCOOLING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37</xdr:row>
          <xdr:rowOff>266700</xdr:rowOff>
        </xdr:from>
        <xdr:to>
          <xdr:col>14</xdr:col>
          <xdr:colOff>927100</xdr:colOff>
          <xdr:row>40</xdr:row>
          <xdr:rowOff>50800</xdr:rowOff>
        </xdr:to>
        <xdr:sp macro="" textlink="">
          <xdr:nvSpPr>
            <xdr:cNvPr id="17433" name="Group Box 25" hidden="1">
              <a:extLst>
                <a:ext uri="{63B3BB69-23CF-44E3-9099-C40C66FF867C}">
                  <a14:compatExt spid="_x0000_s17433"/>
                </a:ext>
                <a:ext uri="{FF2B5EF4-FFF2-40B4-BE49-F238E27FC236}">
                  <a16:creationId xmlns:a16="http://schemas.microsoft.com/office/drawing/2014/main" id="{00000000-0008-0000-1300-000019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45</xdr:row>
          <xdr:rowOff>0</xdr:rowOff>
        </xdr:from>
        <xdr:to>
          <xdr:col>1</xdr:col>
          <xdr:colOff>742950</xdr:colOff>
          <xdr:row>46</xdr:row>
          <xdr:rowOff>82550</xdr:rowOff>
        </xdr:to>
        <xdr:sp macro="" textlink="">
          <xdr:nvSpPr>
            <xdr:cNvPr id="17435" name="OptionButton10" hidden="1">
              <a:extLst>
                <a:ext uri="{63B3BB69-23CF-44E3-9099-C40C66FF867C}">
                  <a14:compatExt spid="_x0000_s17435"/>
                </a:ext>
                <a:ext uri="{FF2B5EF4-FFF2-40B4-BE49-F238E27FC236}">
                  <a16:creationId xmlns:a16="http://schemas.microsoft.com/office/drawing/2014/main" id="{00000000-0008-0000-1300-00001B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571500</xdr:colOff>
          <xdr:row>122</xdr:row>
          <xdr:rowOff>209550</xdr:rowOff>
        </xdr:from>
        <xdr:to>
          <xdr:col>4</xdr:col>
          <xdr:colOff>260350</xdr:colOff>
          <xdr:row>130</xdr:row>
          <xdr:rowOff>12700</xdr:rowOff>
        </xdr:to>
        <xdr:sp macro="" textlink="">
          <xdr:nvSpPr>
            <xdr:cNvPr id="17437" name="Group Box 29" hidden="1">
              <a:extLst>
                <a:ext uri="{63B3BB69-23CF-44E3-9099-C40C66FF867C}">
                  <a14:compatExt spid="_x0000_s17437"/>
                </a:ext>
                <a:ext uri="{FF2B5EF4-FFF2-40B4-BE49-F238E27FC236}">
                  <a16:creationId xmlns:a16="http://schemas.microsoft.com/office/drawing/2014/main" id="{00000000-0008-0000-1300-00001D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495300</xdr:colOff>
          <xdr:row>120</xdr:row>
          <xdr:rowOff>88900</xdr:rowOff>
        </xdr:from>
        <xdr:to>
          <xdr:col>14</xdr:col>
          <xdr:colOff>793750</xdr:colOff>
          <xdr:row>123</xdr:row>
          <xdr:rowOff>76200</xdr:rowOff>
        </xdr:to>
        <xdr:sp macro="" textlink="">
          <xdr:nvSpPr>
            <xdr:cNvPr id="17956" name="CommandButton1" hidden="1">
              <a:extLst>
                <a:ext uri="{63B3BB69-23CF-44E3-9099-C40C66FF867C}">
                  <a14:compatExt spid="_x0000_s17956"/>
                </a:ext>
                <a:ext uri="{FF2B5EF4-FFF2-40B4-BE49-F238E27FC236}">
                  <a16:creationId xmlns:a16="http://schemas.microsoft.com/office/drawing/2014/main" id="{00000000-0008-0000-1300-0000244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431800</xdr:colOff>
          <xdr:row>65</xdr:row>
          <xdr:rowOff>0</xdr:rowOff>
        </xdr:from>
        <xdr:to>
          <xdr:col>1</xdr:col>
          <xdr:colOff>495300</xdr:colOff>
          <xdr:row>66</xdr:row>
          <xdr:rowOff>12700</xdr:rowOff>
        </xdr:to>
        <xdr:sp macro="" textlink="">
          <xdr:nvSpPr>
            <xdr:cNvPr id="59785" name="Option Button 1417" hidden="1">
              <a:extLst>
                <a:ext uri="{63B3BB69-23CF-44E3-9099-C40C66FF867C}">
                  <a14:compatExt spid="_x0000_s59785"/>
                </a:ext>
                <a:ext uri="{FF2B5EF4-FFF2-40B4-BE49-F238E27FC236}">
                  <a16:creationId xmlns:a16="http://schemas.microsoft.com/office/drawing/2014/main" id="{00000000-0008-0000-1300-000089E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65</xdr:row>
          <xdr:rowOff>0</xdr:rowOff>
        </xdr:from>
        <xdr:to>
          <xdr:col>3</xdr:col>
          <xdr:colOff>241300</xdr:colOff>
          <xdr:row>66</xdr:row>
          <xdr:rowOff>12700</xdr:rowOff>
        </xdr:to>
        <xdr:sp macro="" textlink="">
          <xdr:nvSpPr>
            <xdr:cNvPr id="59786" name="Option Button 1418" hidden="1">
              <a:extLst>
                <a:ext uri="{63B3BB69-23CF-44E3-9099-C40C66FF867C}">
                  <a14:compatExt spid="_x0000_s59786"/>
                </a:ext>
                <a:ext uri="{FF2B5EF4-FFF2-40B4-BE49-F238E27FC236}">
                  <a16:creationId xmlns:a16="http://schemas.microsoft.com/office/drawing/2014/main" id="{00000000-0008-0000-1300-00008AE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R-410A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65</xdr:row>
          <xdr:rowOff>0</xdr:rowOff>
        </xdr:from>
        <xdr:to>
          <xdr:col>4</xdr:col>
          <xdr:colOff>190500</xdr:colOff>
          <xdr:row>66</xdr:row>
          <xdr:rowOff>88900</xdr:rowOff>
        </xdr:to>
        <xdr:sp macro="" textlink="">
          <xdr:nvSpPr>
            <xdr:cNvPr id="59787" name="Option Button 1419" hidden="1">
              <a:extLst>
                <a:ext uri="{63B3BB69-23CF-44E3-9099-C40C66FF867C}">
                  <a14:compatExt spid="_x0000_s59787"/>
                </a:ext>
                <a:ext uri="{FF2B5EF4-FFF2-40B4-BE49-F238E27FC236}">
                  <a16:creationId xmlns:a16="http://schemas.microsoft.com/office/drawing/2014/main" id="{00000000-0008-0000-1300-00008BE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9</xdr:row>
          <xdr:rowOff>12700</xdr:rowOff>
        </xdr:from>
        <xdr:to>
          <xdr:col>1</xdr:col>
          <xdr:colOff>393700</xdr:colOff>
          <xdr:row>9</xdr:row>
          <xdr:rowOff>228600</xdr:rowOff>
        </xdr:to>
        <xdr:sp macro="" textlink="">
          <xdr:nvSpPr>
            <xdr:cNvPr id="59856" name="Check Box 1488" hidden="1">
              <a:extLst>
                <a:ext uri="{63B3BB69-23CF-44E3-9099-C40C66FF867C}">
                  <a14:compatExt spid="_x0000_s59856"/>
                </a:ext>
                <a:ext uri="{FF2B5EF4-FFF2-40B4-BE49-F238E27FC236}">
                  <a16:creationId xmlns:a16="http://schemas.microsoft.com/office/drawing/2014/main" id="{00000000-0008-0000-1300-0000D0E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450850</xdr:colOff>
          <xdr:row>9</xdr:row>
          <xdr:rowOff>88900</xdr:rowOff>
        </xdr:from>
        <xdr:to>
          <xdr:col>2</xdr:col>
          <xdr:colOff>698500</xdr:colOff>
          <xdr:row>9</xdr:row>
          <xdr:rowOff>184150</xdr:rowOff>
        </xdr:to>
        <xdr:sp macro="" textlink="">
          <xdr:nvSpPr>
            <xdr:cNvPr id="59857" name="Check Box 1489" hidden="1">
              <a:extLst>
                <a:ext uri="{63B3BB69-23CF-44E3-9099-C40C66FF867C}">
                  <a14:compatExt spid="_x0000_s59857"/>
                </a:ext>
                <a:ext uri="{FF2B5EF4-FFF2-40B4-BE49-F238E27FC236}">
                  <a16:creationId xmlns:a16="http://schemas.microsoft.com/office/drawing/2014/main" id="{00000000-0008-0000-1300-0000D1E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9</xdr:row>
          <xdr:rowOff>88900</xdr:rowOff>
        </xdr:from>
        <xdr:to>
          <xdr:col>3</xdr:col>
          <xdr:colOff>679450</xdr:colOff>
          <xdr:row>9</xdr:row>
          <xdr:rowOff>184150</xdr:rowOff>
        </xdr:to>
        <xdr:sp macro="" textlink="">
          <xdr:nvSpPr>
            <xdr:cNvPr id="59858" name="Check Box 1490" hidden="1">
              <a:extLst>
                <a:ext uri="{63B3BB69-23CF-44E3-9099-C40C66FF867C}">
                  <a14:compatExt spid="_x0000_s59858"/>
                </a:ext>
                <a:ext uri="{FF2B5EF4-FFF2-40B4-BE49-F238E27FC236}">
                  <a16:creationId xmlns:a16="http://schemas.microsoft.com/office/drawing/2014/main" id="{00000000-0008-0000-1300-0000D2E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603250</xdr:colOff>
          <xdr:row>9</xdr:row>
          <xdr:rowOff>76200</xdr:rowOff>
        </xdr:from>
        <xdr:to>
          <xdr:col>3</xdr:col>
          <xdr:colOff>965200</xdr:colOff>
          <xdr:row>9</xdr:row>
          <xdr:rowOff>190500</xdr:rowOff>
        </xdr:to>
        <xdr:sp macro="" textlink="">
          <xdr:nvSpPr>
            <xdr:cNvPr id="59859" name="Check Box 1491" hidden="1">
              <a:extLst>
                <a:ext uri="{63B3BB69-23CF-44E3-9099-C40C66FF867C}">
                  <a14:compatExt spid="_x0000_s59859"/>
                </a:ext>
                <a:ext uri="{FF2B5EF4-FFF2-40B4-BE49-F238E27FC236}">
                  <a16:creationId xmlns:a16="http://schemas.microsoft.com/office/drawing/2014/main" id="{00000000-0008-0000-1300-0000D3E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96</xdr:row>
          <xdr:rowOff>0</xdr:rowOff>
        </xdr:from>
        <xdr:to>
          <xdr:col>4</xdr:col>
          <xdr:colOff>260350</xdr:colOff>
          <xdr:row>100</xdr:row>
          <xdr:rowOff>107950</xdr:rowOff>
        </xdr:to>
        <xdr:sp macro="" textlink="">
          <xdr:nvSpPr>
            <xdr:cNvPr id="59860" name="Contractor_Lookup" hidden="1">
              <a:extLst>
                <a:ext uri="{63B3BB69-23CF-44E3-9099-C40C66FF867C}">
                  <a14:compatExt spid="_x0000_s59860"/>
                </a:ext>
                <a:ext uri="{FF2B5EF4-FFF2-40B4-BE49-F238E27FC236}">
                  <a16:creationId xmlns:a16="http://schemas.microsoft.com/office/drawing/2014/main" id="{00000000-0008-0000-1300-0000D4E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103</xdr:row>
          <xdr:rowOff>0</xdr:rowOff>
        </xdr:from>
        <xdr:to>
          <xdr:col>5</xdr:col>
          <xdr:colOff>50800</xdr:colOff>
          <xdr:row>104</xdr:row>
          <xdr:rowOff>50800</xdr:rowOff>
        </xdr:to>
        <xdr:sp macro="" textlink="">
          <xdr:nvSpPr>
            <xdr:cNvPr id="59861" name="Option Button 1493" hidden="1">
              <a:extLst>
                <a:ext uri="{63B3BB69-23CF-44E3-9099-C40C66FF867C}">
                  <a14:compatExt spid="_x0000_s59861"/>
                </a:ext>
                <a:ext uri="{FF2B5EF4-FFF2-40B4-BE49-F238E27FC236}">
                  <a16:creationId xmlns:a16="http://schemas.microsoft.com/office/drawing/2014/main" id="{00000000-0008-0000-1300-0000D5E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103</xdr:row>
          <xdr:rowOff>12700</xdr:rowOff>
        </xdr:from>
        <xdr:to>
          <xdr:col>6</xdr:col>
          <xdr:colOff>0</xdr:colOff>
          <xdr:row>104</xdr:row>
          <xdr:rowOff>12700</xdr:rowOff>
        </xdr:to>
        <xdr:sp macro="" textlink="">
          <xdr:nvSpPr>
            <xdr:cNvPr id="59862" name="Option Button 1494" hidden="1">
              <a:extLst>
                <a:ext uri="{63B3BB69-23CF-44E3-9099-C40C66FF867C}">
                  <a14:compatExt spid="_x0000_s59862"/>
                </a:ext>
                <a:ext uri="{FF2B5EF4-FFF2-40B4-BE49-F238E27FC236}">
                  <a16:creationId xmlns:a16="http://schemas.microsoft.com/office/drawing/2014/main" id="{00000000-0008-0000-1300-0000D6E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102</xdr:row>
          <xdr:rowOff>12700</xdr:rowOff>
        </xdr:from>
        <xdr:to>
          <xdr:col>6</xdr:col>
          <xdr:colOff>533400</xdr:colOff>
          <xdr:row>104</xdr:row>
          <xdr:rowOff>165100</xdr:rowOff>
        </xdr:to>
        <xdr:sp macro="" textlink="">
          <xdr:nvSpPr>
            <xdr:cNvPr id="59863" name="Group Box 1495" hidden="1">
              <a:extLst>
                <a:ext uri="{63B3BB69-23CF-44E3-9099-C40C66FF867C}">
                  <a14:compatExt spid="_x0000_s59863"/>
                </a:ext>
                <a:ext uri="{FF2B5EF4-FFF2-40B4-BE49-F238E27FC236}">
                  <a16:creationId xmlns:a16="http://schemas.microsoft.com/office/drawing/2014/main" id="{00000000-0008-0000-1300-0000D7E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374650</xdr:colOff>
          <xdr:row>96</xdr:row>
          <xdr:rowOff>76200</xdr:rowOff>
        </xdr:from>
        <xdr:to>
          <xdr:col>4</xdr:col>
          <xdr:colOff>260350</xdr:colOff>
          <xdr:row>100</xdr:row>
          <xdr:rowOff>12700</xdr:rowOff>
        </xdr:to>
        <xdr:sp macro="" textlink="">
          <xdr:nvSpPr>
            <xdr:cNvPr id="59864" name="Group Box 1496" hidden="1">
              <a:extLst>
                <a:ext uri="{63B3BB69-23CF-44E3-9099-C40C66FF867C}">
                  <a14:compatExt spid="_x0000_s59864"/>
                </a:ext>
                <a:ext uri="{FF2B5EF4-FFF2-40B4-BE49-F238E27FC236}">
                  <a16:creationId xmlns:a16="http://schemas.microsoft.com/office/drawing/2014/main" id="{00000000-0008-0000-1300-0000D8E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106</xdr:row>
          <xdr:rowOff>0</xdr:rowOff>
        </xdr:from>
        <xdr:to>
          <xdr:col>5</xdr:col>
          <xdr:colOff>50800</xdr:colOff>
          <xdr:row>107</xdr:row>
          <xdr:rowOff>50800</xdr:rowOff>
        </xdr:to>
        <xdr:sp macro="" textlink="">
          <xdr:nvSpPr>
            <xdr:cNvPr id="59865" name="Option Button 1497" hidden="1">
              <a:extLst>
                <a:ext uri="{63B3BB69-23CF-44E3-9099-C40C66FF867C}">
                  <a14:compatExt spid="_x0000_s59865"/>
                </a:ext>
                <a:ext uri="{FF2B5EF4-FFF2-40B4-BE49-F238E27FC236}">
                  <a16:creationId xmlns:a16="http://schemas.microsoft.com/office/drawing/2014/main" id="{00000000-0008-0000-1300-0000D9E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106</xdr:row>
          <xdr:rowOff>12700</xdr:rowOff>
        </xdr:from>
        <xdr:to>
          <xdr:col>6</xdr:col>
          <xdr:colOff>0</xdr:colOff>
          <xdr:row>107</xdr:row>
          <xdr:rowOff>12700</xdr:rowOff>
        </xdr:to>
        <xdr:sp macro="" textlink="">
          <xdr:nvSpPr>
            <xdr:cNvPr id="59866" name="Option Button 1498" hidden="1">
              <a:extLst>
                <a:ext uri="{63B3BB69-23CF-44E3-9099-C40C66FF867C}">
                  <a14:compatExt spid="_x0000_s59866"/>
                </a:ext>
                <a:ext uri="{FF2B5EF4-FFF2-40B4-BE49-F238E27FC236}">
                  <a16:creationId xmlns:a16="http://schemas.microsoft.com/office/drawing/2014/main" id="{00000000-0008-0000-1300-0000DAE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105</xdr:row>
          <xdr:rowOff>69850</xdr:rowOff>
        </xdr:from>
        <xdr:to>
          <xdr:col>6</xdr:col>
          <xdr:colOff>323850</xdr:colOff>
          <xdr:row>108</xdr:row>
          <xdr:rowOff>38100</xdr:rowOff>
        </xdr:to>
        <xdr:sp macro="" textlink="">
          <xdr:nvSpPr>
            <xdr:cNvPr id="59867" name="Group Box 1499" hidden="1">
              <a:extLst>
                <a:ext uri="{63B3BB69-23CF-44E3-9099-C40C66FF867C}">
                  <a14:compatExt spid="_x0000_s59867"/>
                </a:ext>
                <a:ext uri="{FF2B5EF4-FFF2-40B4-BE49-F238E27FC236}">
                  <a16:creationId xmlns:a16="http://schemas.microsoft.com/office/drawing/2014/main" id="{00000000-0008-0000-1300-0000DBE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431800</xdr:colOff>
          <xdr:row>97</xdr:row>
          <xdr:rowOff>171450</xdr:rowOff>
        </xdr:from>
        <xdr:to>
          <xdr:col>1</xdr:col>
          <xdr:colOff>495300</xdr:colOff>
          <xdr:row>99</xdr:row>
          <xdr:rowOff>0</xdr:rowOff>
        </xdr:to>
        <xdr:sp macro="" textlink="">
          <xdr:nvSpPr>
            <xdr:cNvPr id="59868" name="Option Button 1500" hidden="1">
              <a:extLst>
                <a:ext uri="{63B3BB69-23CF-44E3-9099-C40C66FF867C}">
                  <a14:compatExt spid="_x0000_s59868"/>
                </a:ext>
                <a:ext uri="{FF2B5EF4-FFF2-40B4-BE49-F238E27FC236}">
                  <a16:creationId xmlns:a16="http://schemas.microsoft.com/office/drawing/2014/main" id="{00000000-0008-0000-1300-0000DCE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97</xdr:row>
          <xdr:rowOff>171450</xdr:rowOff>
        </xdr:from>
        <xdr:to>
          <xdr:col>3</xdr:col>
          <xdr:colOff>241300</xdr:colOff>
          <xdr:row>99</xdr:row>
          <xdr:rowOff>0</xdr:rowOff>
        </xdr:to>
        <xdr:sp macro="" textlink="">
          <xdr:nvSpPr>
            <xdr:cNvPr id="59869" name="Option Button 1501" hidden="1">
              <a:extLst>
                <a:ext uri="{63B3BB69-23CF-44E3-9099-C40C66FF867C}">
                  <a14:compatExt spid="_x0000_s59869"/>
                </a:ext>
                <a:ext uri="{FF2B5EF4-FFF2-40B4-BE49-F238E27FC236}">
                  <a16:creationId xmlns:a16="http://schemas.microsoft.com/office/drawing/2014/main" id="{00000000-0008-0000-1300-0000DDE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R-410A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97</xdr:row>
          <xdr:rowOff>165100</xdr:rowOff>
        </xdr:from>
        <xdr:to>
          <xdr:col>4</xdr:col>
          <xdr:colOff>190500</xdr:colOff>
          <xdr:row>99</xdr:row>
          <xdr:rowOff>69850</xdr:rowOff>
        </xdr:to>
        <xdr:sp macro="" textlink="">
          <xdr:nvSpPr>
            <xdr:cNvPr id="59870" name="Option Button 1502" hidden="1">
              <a:extLst>
                <a:ext uri="{63B3BB69-23CF-44E3-9099-C40C66FF867C}">
                  <a14:compatExt spid="_x0000_s59870"/>
                </a:ext>
                <a:ext uri="{FF2B5EF4-FFF2-40B4-BE49-F238E27FC236}">
                  <a16:creationId xmlns:a16="http://schemas.microsoft.com/office/drawing/2014/main" id="{00000000-0008-0000-1300-0000DEE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Other</a:t>
              </a:r>
            </a:p>
          </xdr:txBody>
        </xdr:sp>
        <xdr:clientData/>
      </xdr:twoCellAnchor>
    </mc:Choice>
    <mc:Fallback/>
  </mc:AlternateContent>
</xdr:wsDr>
</file>

<file path=xl/drawings/drawing17.xml><?xml version="1.0" encoding="utf-8"?>
<xdr:wsDr xmlns:xdr="http://schemas.openxmlformats.org/drawingml/2006/spreadsheetDrawing" xmlns:a="http://schemas.openxmlformats.org/drawingml/2006/main">
  <xdr:twoCellAnchor editAs="oneCell">
    <xdr:from>
      <xdr:col>10</xdr:col>
      <xdr:colOff>994833</xdr:colOff>
      <xdr:row>0</xdr:row>
      <xdr:rowOff>490009</xdr:rowOff>
    </xdr:from>
    <xdr:to>
      <xdr:col>14</xdr:col>
      <xdr:colOff>610305</xdr:colOff>
      <xdr:row>1</xdr:row>
      <xdr:rowOff>486834</xdr:rowOff>
    </xdr:to>
    <xdr:pic>
      <xdr:nvPicPr>
        <xdr:cNvPr id="37208" name="Picture 1">
          <a:extLst>
            <a:ext uri="{FF2B5EF4-FFF2-40B4-BE49-F238E27FC236}">
              <a16:creationId xmlns:a16="http://schemas.microsoft.com/office/drawing/2014/main" id="{00000000-0008-0000-1500-00005891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75750" y="490009"/>
          <a:ext cx="3076222" cy="69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850900</xdr:colOff>
          <xdr:row>19</xdr:row>
          <xdr:rowOff>50800</xdr:rowOff>
        </xdr:from>
        <xdr:to>
          <xdr:col>6</xdr:col>
          <xdr:colOff>438150</xdr:colOff>
          <xdr:row>20</xdr:row>
          <xdr:rowOff>336550</xdr:rowOff>
        </xdr:to>
        <xdr:sp macro="" textlink="">
          <xdr:nvSpPr>
            <xdr:cNvPr id="36865" name="OptionButton1" hidden="1">
              <a:extLst>
                <a:ext uri="{63B3BB69-23CF-44E3-9099-C40C66FF867C}">
                  <a14:compatExt spid="_x0000_s36865"/>
                </a:ext>
                <a:ext uri="{FF2B5EF4-FFF2-40B4-BE49-F238E27FC236}">
                  <a16:creationId xmlns:a16="http://schemas.microsoft.com/office/drawing/2014/main" id="{00000000-0008-0000-1400-000001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584200</xdr:colOff>
          <xdr:row>19</xdr:row>
          <xdr:rowOff>38100</xdr:rowOff>
        </xdr:from>
        <xdr:to>
          <xdr:col>13</xdr:col>
          <xdr:colOff>0</xdr:colOff>
          <xdr:row>20</xdr:row>
          <xdr:rowOff>469900</xdr:rowOff>
        </xdr:to>
        <xdr:sp macro="" textlink="">
          <xdr:nvSpPr>
            <xdr:cNvPr id="36866" name="OptionButton2" hidden="1">
              <a:extLst>
                <a:ext uri="{63B3BB69-23CF-44E3-9099-C40C66FF867C}">
                  <a14:compatExt spid="_x0000_s36866"/>
                </a:ext>
                <a:ext uri="{FF2B5EF4-FFF2-40B4-BE49-F238E27FC236}">
                  <a16:creationId xmlns:a16="http://schemas.microsoft.com/office/drawing/2014/main" id="{00000000-0008-0000-1400-000002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21</xdr:row>
          <xdr:rowOff>0</xdr:rowOff>
        </xdr:from>
        <xdr:to>
          <xdr:col>7</xdr:col>
          <xdr:colOff>95250</xdr:colOff>
          <xdr:row>22</xdr:row>
          <xdr:rowOff>298450</xdr:rowOff>
        </xdr:to>
        <xdr:sp macro="" textlink="">
          <xdr:nvSpPr>
            <xdr:cNvPr id="36867" name="Group Box 3" hidden="1">
              <a:extLst>
                <a:ext uri="{63B3BB69-23CF-44E3-9099-C40C66FF867C}">
                  <a14:compatExt spid="_x0000_s36867"/>
                </a:ext>
                <a:ext uri="{FF2B5EF4-FFF2-40B4-BE49-F238E27FC236}">
                  <a16:creationId xmlns:a16="http://schemas.microsoft.com/office/drawing/2014/main" id="{00000000-0008-0000-1400-000003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21</xdr:row>
          <xdr:rowOff>146050</xdr:rowOff>
        </xdr:from>
        <xdr:to>
          <xdr:col>9</xdr:col>
          <xdr:colOff>50800</xdr:colOff>
          <xdr:row>21</xdr:row>
          <xdr:rowOff>450850</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14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Existing Ductwork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21</xdr:row>
          <xdr:rowOff>146050</xdr:rowOff>
        </xdr:from>
        <xdr:to>
          <xdr:col>10</xdr:col>
          <xdr:colOff>990600</xdr:colOff>
          <xdr:row>21</xdr:row>
          <xdr:rowOff>469900</xdr:rowOff>
        </xdr:to>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1400-00000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Variable Speed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65</xdr:row>
          <xdr:rowOff>0</xdr:rowOff>
        </xdr:from>
        <xdr:to>
          <xdr:col>4</xdr:col>
          <xdr:colOff>260350</xdr:colOff>
          <xdr:row>69</xdr:row>
          <xdr:rowOff>95250</xdr:rowOff>
        </xdr:to>
        <xdr:sp macro="" textlink="">
          <xdr:nvSpPr>
            <xdr:cNvPr id="36873" name="Group Box 9" hidden="1">
              <a:extLst>
                <a:ext uri="{63B3BB69-23CF-44E3-9099-C40C66FF867C}">
                  <a14:compatExt spid="_x0000_s36873"/>
                </a:ext>
                <a:ext uri="{FF2B5EF4-FFF2-40B4-BE49-F238E27FC236}">
                  <a16:creationId xmlns:a16="http://schemas.microsoft.com/office/drawing/2014/main" id="{00000000-0008-0000-1400-000009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65</xdr:row>
          <xdr:rowOff>0</xdr:rowOff>
        </xdr:from>
        <xdr:to>
          <xdr:col>5</xdr:col>
          <xdr:colOff>50800</xdr:colOff>
          <xdr:row>66</xdr:row>
          <xdr:rowOff>50800</xdr:rowOff>
        </xdr:to>
        <xdr:sp macro="" textlink="">
          <xdr:nvSpPr>
            <xdr:cNvPr id="36874" name="Option Button 10" hidden="1">
              <a:extLst>
                <a:ext uri="{63B3BB69-23CF-44E3-9099-C40C66FF867C}">
                  <a14:compatExt spid="_x0000_s36874"/>
                </a:ext>
                <a:ext uri="{FF2B5EF4-FFF2-40B4-BE49-F238E27FC236}">
                  <a16:creationId xmlns:a16="http://schemas.microsoft.com/office/drawing/2014/main" id="{00000000-0008-0000-1400-00000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65</xdr:row>
          <xdr:rowOff>0</xdr:rowOff>
        </xdr:from>
        <xdr:to>
          <xdr:col>6</xdr:col>
          <xdr:colOff>0</xdr:colOff>
          <xdr:row>66</xdr:row>
          <xdr:rowOff>0</xdr:rowOff>
        </xdr:to>
        <xdr:sp macro="" textlink="">
          <xdr:nvSpPr>
            <xdr:cNvPr id="36875" name="Option Button 11" hidden="1">
              <a:extLst>
                <a:ext uri="{63B3BB69-23CF-44E3-9099-C40C66FF867C}">
                  <a14:compatExt spid="_x0000_s36875"/>
                </a:ext>
                <a:ext uri="{FF2B5EF4-FFF2-40B4-BE49-F238E27FC236}">
                  <a16:creationId xmlns:a16="http://schemas.microsoft.com/office/drawing/2014/main" id="{00000000-0008-0000-1400-00000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65</xdr:row>
          <xdr:rowOff>0</xdr:rowOff>
        </xdr:from>
        <xdr:to>
          <xdr:col>6</xdr:col>
          <xdr:colOff>533400</xdr:colOff>
          <xdr:row>67</xdr:row>
          <xdr:rowOff>152400</xdr:rowOff>
        </xdr:to>
        <xdr:sp macro="" textlink="">
          <xdr:nvSpPr>
            <xdr:cNvPr id="36876" name="Group Box 12" hidden="1">
              <a:extLst>
                <a:ext uri="{63B3BB69-23CF-44E3-9099-C40C66FF867C}">
                  <a14:compatExt spid="_x0000_s36876"/>
                </a:ext>
                <a:ext uri="{FF2B5EF4-FFF2-40B4-BE49-F238E27FC236}">
                  <a16:creationId xmlns:a16="http://schemas.microsoft.com/office/drawing/2014/main" id="{00000000-0008-0000-1400-00000C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374650</xdr:colOff>
          <xdr:row>65</xdr:row>
          <xdr:rowOff>0</xdr:rowOff>
        </xdr:from>
        <xdr:to>
          <xdr:col>4</xdr:col>
          <xdr:colOff>260350</xdr:colOff>
          <xdr:row>68</xdr:row>
          <xdr:rowOff>95250</xdr:rowOff>
        </xdr:to>
        <xdr:sp macro="" textlink="">
          <xdr:nvSpPr>
            <xdr:cNvPr id="36877" name="Group Box 13" hidden="1">
              <a:extLst>
                <a:ext uri="{63B3BB69-23CF-44E3-9099-C40C66FF867C}">
                  <a14:compatExt spid="_x0000_s36877"/>
                </a:ext>
                <a:ext uri="{FF2B5EF4-FFF2-40B4-BE49-F238E27FC236}">
                  <a16:creationId xmlns:a16="http://schemas.microsoft.com/office/drawing/2014/main" id="{00000000-0008-0000-1400-00000D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65</xdr:row>
          <xdr:rowOff>0</xdr:rowOff>
        </xdr:from>
        <xdr:to>
          <xdr:col>5</xdr:col>
          <xdr:colOff>50800</xdr:colOff>
          <xdr:row>66</xdr:row>
          <xdr:rowOff>50800</xdr:rowOff>
        </xdr:to>
        <xdr:sp macro="" textlink="">
          <xdr:nvSpPr>
            <xdr:cNvPr id="36878" name="Option Button 14" hidden="1">
              <a:extLst>
                <a:ext uri="{63B3BB69-23CF-44E3-9099-C40C66FF867C}">
                  <a14:compatExt spid="_x0000_s36878"/>
                </a:ext>
                <a:ext uri="{FF2B5EF4-FFF2-40B4-BE49-F238E27FC236}">
                  <a16:creationId xmlns:a16="http://schemas.microsoft.com/office/drawing/2014/main" id="{00000000-0008-0000-1400-00000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65</xdr:row>
          <xdr:rowOff>0</xdr:rowOff>
        </xdr:from>
        <xdr:to>
          <xdr:col>6</xdr:col>
          <xdr:colOff>0</xdr:colOff>
          <xdr:row>66</xdr:row>
          <xdr:rowOff>0</xdr:rowOff>
        </xdr:to>
        <xdr:sp macro="" textlink="">
          <xdr:nvSpPr>
            <xdr:cNvPr id="36879" name="Option Button 15" hidden="1">
              <a:extLst>
                <a:ext uri="{63B3BB69-23CF-44E3-9099-C40C66FF867C}">
                  <a14:compatExt spid="_x0000_s36879"/>
                </a:ext>
                <a:ext uri="{FF2B5EF4-FFF2-40B4-BE49-F238E27FC236}">
                  <a16:creationId xmlns:a16="http://schemas.microsoft.com/office/drawing/2014/main" id="{00000000-0008-0000-1400-00000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65</xdr:row>
          <xdr:rowOff>0</xdr:rowOff>
        </xdr:from>
        <xdr:to>
          <xdr:col>6</xdr:col>
          <xdr:colOff>323850</xdr:colOff>
          <xdr:row>67</xdr:row>
          <xdr:rowOff>165100</xdr:rowOff>
        </xdr:to>
        <xdr:sp macro="" textlink="">
          <xdr:nvSpPr>
            <xdr:cNvPr id="36880" name="Group Box 16" hidden="1">
              <a:extLst>
                <a:ext uri="{63B3BB69-23CF-44E3-9099-C40C66FF867C}">
                  <a14:compatExt spid="_x0000_s36880"/>
                </a:ext>
                <a:ext uri="{FF2B5EF4-FFF2-40B4-BE49-F238E27FC236}">
                  <a16:creationId xmlns:a16="http://schemas.microsoft.com/office/drawing/2014/main" id="{00000000-0008-0000-1400-000010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71</xdr:row>
          <xdr:rowOff>0</xdr:rowOff>
        </xdr:from>
        <xdr:to>
          <xdr:col>2</xdr:col>
          <xdr:colOff>19050</xdr:colOff>
          <xdr:row>72</xdr:row>
          <xdr:rowOff>82550</xdr:rowOff>
        </xdr:to>
        <xdr:sp macro="" textlink="">
          <xdr:nvSpPr>
            <xdr:cNvPr id="36882" name="OptionButton7" hidden="1">
              <a:extLst>
                <a:ext uri="{63B3BB69-23CF-44E3-9099-C40C66FF867C}">
                  <a14:compatExt spid="_x0000_s36882"/>
                </a:ext>
                <a:ext uri="{FF2B5EF4-FFF2-40B4-BE49-F238E27FC236}">
                  <a16:creationId xmlns:a16="http://schemas.microsoft.com/office/drawing/2014/main" id="{00000000-0008-0000-1400-000012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317500</xdr:colOff>
          <xdr:row>68</xdr:row>
          <xdr:rowOff>209550</xdr:rowOff>
        </xdr:from>
        <xdr:to>
          <xdr:col>4</xdr:col>
          <xdr:colOff>260350</xdr:colOff>
          <xdr:row>72</xdr:row>
          <xdr:rowOff>12700</xdr:rowOff>
        </xdr:to>
        <xdr:sp macro="" textlink="">
          <xdr:nvSpPr>
            <xdr:cNvPr id="36884" name="Group Box 20" hidden="1">
              <a:extLst>
                <a:ext uri="{63B3BB69-23CF-44E3-9099-C40C66FF867C}">
                  <a14:compatExt spid="_x0000_s36884"/>
                </a:ext>
                <a:ext uri="{FF2B5EF4-FFF2-40B4-BE49-F238E27FC236}">
                  <a16:creationId xmlns:a16="http://schemas.microsoft.com/office/drawing/2014/main" id="{00000000-0008-0000-1400-000014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889000</xdr:colOff>
          <xdr:row>38</xdr:row>
          <xdr:rowOff>127000</xdr:rowOff>
        </xdr:from>
        <xdr:to>
          <xdr:col>3</xdr:col>
          <xdr:colOff>889000</xdr:colOff>
          <xdr:row>39</xdr:row>
          <xdr:rowOff>127000</xdr:rowOff>
        </xdr:to>
        <xdr:sp macro="" textlink="">
          <xdr:nvSpPr>
            <xdr:cNvPr id="36885" name="Option Button 21" hidden="1">
              <a:extLst>
                <a:ext uri="{63B3BB69-23CF-44E3-9099-C40C66FF867C}">
                  <a14:compatExt spid="_x0000_s36885"/>
                </a:ext>
                <a:ext uri="{FF2B5EF4-FFF2-40B4-BE49-F238E27FC236}">
                  <a16:creationId xmlns:a16="http://schemas.microsoft.com/office/drawing/2014/main" id="{00000000-0008-0000-1400-00001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WEIGH 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1041400</xdr:colOff>
          <xdr:row>38</xdr:row>
          <xdr:rowOff>69850</xdr:rowOff>
        </xdr:from>
        <xdr:to>
          <xdr:col>4</xdr:col>
          <xdr:colOff>184150</xdr:colOff>
          <xdr:row>39</xdr:row>
          <xdr:rowOff>69850</xdr:rowOff>
        </xdr:to>
        <xdr:sp macro="" textlink="">
          <xdr:nvSpPr>
            <xdr:cNvPr id="36886" name="Option Button 22" hidden="1">
              <a:extLst>
                <a:ext uri="{63B3BB69-23CF-44E3-9099-C40C66FF867C}">
                  <a14:compatExt spid="_x0000_s36886"/>
                </a:ext>
                <a:ext uri="{FF2B5EF4-FFF2-40B4-BE49-F238E27FC236}">
                  <a16:creationId xmlns:a16="http://schemas.microsoft.com/office/drawing/2014/main" id="{00000000-0008-0000-1400-00001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SUPERHEAT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203200</xdr:colOff>
          <xdr:row>38</xdr:row>
          <xdr:rowOff>69850</xdr:rowOff>
        </xdr:from>
        <xdr:to>
          <xdr:col>5</xdr:col>
          <xdr:colOff>584200</xdr:colOff>
          <xdr:row>39</xdr:row>
          <xdr:rowOff>69850</xdr:rowOff>
        </xdr:to>
        <xdr:sp macro="" textlink="">
          <xdr:nvSpPr>
            <xdr:cNvPr id="36887" name="Option Button 23" hidden="1">
              <a:extLst>
                <a:ext uri="{63B3BB69-23CF-44E3-9099-C40C66FF867C}">
                  <a14:compatExt spid="_x0000_s36887"/>
                </a:ext>
                <a:ext uri="{FF2B5EF4-FFF2-40B4-BE49-F238E27FC236}">
                  <a16:creationId xmlns:a16="http://schemas.microsoft.com/office/drawing/2014/main" id="{00000000-0008-0000-1400-00001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SUBCOOLING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37</xdr:row>
          <xdr:rowOff>266700</xdr:rowOff>
        </xdr:from>
        <xdr:to>
          <xdr:col>14</xdr:col>
          <xdr:colOff>857250</xdr:colOff>
          <xdr:row>40</xdr:row>
          <xdr:rowOff>50800</xdr:rowOff>
        </xdr:to>
        <xdr:sp macro="" textlink="">
          <xdr:nvSpPr>
            <xdr:cNvPr id="36889" name="Group Box 25" hidden="1">
              <a:extLst>
                <a:ext uri="{63B3BB69-23CF-44E3-9099-C40C66FF867C}">
                  <a14:compatExt spid="_x0000_s36889"/>
                </a:ext>
                <a:ext uri="{FF2B5EF4-FFF2-40B4-BE49-F238E27FC236}">
                  <a16:creationId xmlns:a16="http://schemas.microsoft.com/office/drawing/2014/main" id="{00000000-0008-0000-1400-000019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45</xdr:row>
          <xdr:rowOff>69850</xdr:rowOff>
        </xdr:from>
        <xdr:to>
          <xdr:col>2</xdr:col>
          <xdr:colOff>101600</xdr:colOff>
          <xdr:row>46</xdr:row>
          <xdr:rowOff>158750</xdr:rowOff>
        </xdr:to>
        <xdr:sp macro="" textlink="">
          <xdr:nvSpPr>
            <xdr:cNvPr id="36891" name="OptionButton10" hidden="1">
              <a:extLst>
                <a:ext uri="{63B3BB69-23CF-44E3-9099-C40C66FF867C}">
                  <a14:compatExt spid="_x0000_s36891"/>
                </a:ext>
                <a:ext uri="{FF2B5EF4-FFF2-40B4-BE49-F238E27FC236}">
                  <a16:creationId xmlns:a16="http://schemas.microsoft.com/office/drawing/2014/main" id="{00000000-0008-0000-1400-00001B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571500</xdr:colOff>
          <xdr:row>43</xdr:row>
          <xdr:rowOff>209550</xdr:rowOff>
        </xdr:from>
        <xdr:to>
          <xdr:col>4</xdr:col>
          <xdr:colOff>260350</xdr:colOff>
          <xdr:row>47</xdr:row>
          <xdr:rowOff>12700</xdr:rowOff>
        </xdr:to>
        <xdr:sp macro="" textlink="">
          <xdr:nvSpPr>
            <xdr:cNvPr id="36893" name="Group Box 29" hidden="1">
              <a:extLst>
                <a:ext uri="{63B3BB69-23CF-44E3-9099-C40C66FF867C}">
                  <a14:compatExt spid="_x0000_s36893"/>
                </a:ext>
                <a:ext uri="{FF2B5EF4-FFF2-40B4-BE49-F238E27FC236}">
                  <a16:creationId xmlns:a16="http://schemas.microsoft.com/office/drawing/2014/main" id="{00000000-0008-0000-1400-00001D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438150</xdr:colOff>
          <xdr:row>118</xdr:row>
          <xdr:rowOff>127000</xdr:rowOff>
        </xdr:from>
        <xdr:to>
          <xdr:col>14</xdr:col>
          <xdr:colOff>654050</xdr:colOff>
          <xdr:row>121</xdr:row>
          <xdr:rowOff>114300</xdr:rowOff>
        </xdr:to>
        <xdr:sp macro="" textlink="">
          <xdr:nvSpPr>
            <xdr:cNvPr id="36919" name="CommandButton2" hidden="1">
              <a:extLst>
                <a:ext uri="{63B3BB69-23CF-44E3-9099-C40C66FF867C}">
                  <a14:compatExt spid="_x0000_s36919"/>
                </a:ext>
                <a:ext uri="{FF2B5EF4-FFF2-40B4-BE49-F238E27FC236}">
                  <a16:creationId xmlns:a16="http://schemas.microsoft.com/office/drawing/2014/main" id="{00000000-0008-0000-1400-000037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1212850</xdr:colOff>
          <xdr:row>9</xdr:row>
          <xdr:rowOff>114300</xdr:rowOff>
        </xdr:from>
        <xdr:to>
          <xdr:col>2</xdr:col>
          <xdr:colOff>0</xdr:colOff>
          <xdr:row>9</xdr:row>
          <xdr:rowOff>374650</xdr:rowOff>
        </xdr:to>
        <xdr:sp macro="" textlink="">
          <xdr:nvSpPr>
            <xdr:cNvPr id="36981" name="Check Box 117" hidden="1">
              <a:extLst>
                <a:ext uri="{63B3BB69-23CF-44E3-9099-C40C66FF867C}">
                  <a14:compatExt spid="_x0000_s36981"/>
                </a:ext>
                <a:ext uri="{FF2B5EF4-FFF2-40B4-BE49-F238E27FC236}">
                  <a16:creationId xmlns:a16="http://schemas.microsoft.com/office/drawing/2014/main" id="{00000000-0008-0000-1400-00007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9</xdr:row>
          <xdr:rowOff>69850</xdr:rowOff>
        </xdr:from>
        <xdr:to>
          <xdr:col>3</xdr:col>
          <xdr:colOff>1066800</xdr:colOff>
          <xdr:row>10</xdr:row>
          <xdr:rowOff>0</xdr:rowOff>
        </xdr:to>
        <xdr:sp macro="" textlink="">
          <xdr:nvSpPr>
            <xdr:cNvPr id="36982" name="Check Box 118" hidden="1">
              <a:extLst>
                <a:ext uri="{63B3BB69-23CF-44E3-9099-C40C66FF867C}">
                  <a14:compatExt spid="_x0000_s36982"/>
                </a:ext>
                <a:ext uri="{FF2B5EF4-FFF2-40B4-BE49-F238E27FC236}">
                  <a16:creationId xmlns:a16="http://schemas.microsoft.com/office/drawing/2014/main" id="{00000000-0008-0000-1400-00007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114300</xdr:rowOff>
        </xdr:from>
        <xdr:to>
          <xdr:col>2</xdr:col>
          <xdr:colOff>546100</xdr:colOff>
          <xdr:row>9</xdr:row>
          <xdr:rowOff>381000</xdr:rowOff>
        </xdr:to>
        <xdr:sp macro="" textlink="">
          <xdr:nvSpPr>
            <xdr:cNvPr id="36983" name="Check Box 119" hidden="1">
              <a:extLst>
                <a:ext uri="{63B3BB69-23CF-44E3-9099-C40C66FF867C}">
                  <a14:compatExt spid="_x0000_s36983"/>
                </a:ext>
                <a:ext uri="{FF2B5EF4-FFF2-40B4-BE49-F238E27FC236}">
                  <a16:creationId xmlns:a16="http://schemas.microsoft.com/office/drawing/2014/main" id="{00000000-0008-0000-1400-00007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1003300</xdr:colOff>
          <xdr:row>9</xdr:row>
          <xdr:rowOff>69850</xdr:rowOff>
        </xdr:from>
        <xdr:to>
          <xdr:col>5</xdr:col>
          <xdr:colOff>146050</xdr:colOff>
          <xdr:row>9</xdr:row>
          <xdr:rowOff>184150</xdr:rowOff>
        </xdr:to>
        <xdr:sp macro="" textlink="">
          <xdr:nvSpPr>
            <xdr:cNvPr id="36984" name="Check Box 120" hidden="1">
              <a:extLst>
                <a:ext uri="{63B3BB69-23CF-44E3-9099-C40C66FF867C}">
                  <a14:compatExt spid="_x0000_s36984"/>
                </a:ext>
                <a:ext uri="{FF2B5EF4-FFF2-40B4-BE49-F238E27FC236}">
                  <a16:creationId xmlns:a16="http://schemas.microsoft.com/office/drawing/2014/main" id="{00000000-0008-0000-1400-00007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a:t>
              </a:r>
            </a:p>
          </xdr:txBody>
        </xdr:sp>
        <xdr:clientData/>
      </xdr:twoCellAnchor>
    </mc:Choice>
    <mc:Fallback/>
  </mc:AlternateContent>
</xdr:wsDr>
</file>

<file path=xl/drawings/drawing18.xml><?xml version="1.0" encoding="utf-8"?>
<xdr:wsDr xmlns:xdr="http://schemas.openxmlformats.org/drawingml/2006/spreadsheetDrawing" xmlns:a="http://schemas.openxmlformats.org/drawingml/2006/main">
  <xdr:twoCellAnchor editAs="oneCell">
    <xdr:from>
      <xdr:col>10</xdr:col>
      <xdr:colOff>1134533</xdr:colOff>
      <xdr:row>0</xdr:row>
      <xdr:rowOff>444500</xdr:rowOff>
    </xdr:from>
    <xdr:to>
      <xdr:col>14</xdr:col>
      <xdr:colOff>753533</xdr:colOff>
      <xdr:row>1</xdr:row>
      <xdr:rowOff>438150</xdr:rowOff>
    </xdr:to>
    <xdr:pic>
      <xdr:nvPicPr>
        <xdr:cNvPr id="39235" name="Picture 1">
          <a:extLst>
            <a:ext uri="{FF2B5EF4-FFF2-40B4-BE49-F238E27FC236}">
              <a16:creationId xmlns:a16="http://schemas.microsoft.com/office/drawing/2014/main" id="{00000000-0008-0000-1600-0000439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73116" y="444500"/>
          <a:ext cx="3079750" cy="69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850900</xdr:colOff>
          <xdr:row>19</xdr:row>
          <xdr:rowOff>266700</xdr:rowOff>
        </xdr:from>
        <xdr:to>
          <xdr:col>6</xdr:col>
          <xdr:colOff>114300</xdr:colOff>
          <xdr:row>20</xdr:row>
          <xdr:rowOff>190500</xdr:rowOff>
        </xdr:to>
        <xdr:sp macro="" textlink="">
          <xdr:nvSpPr>
            <xdr:cNvPr id="38913" name="OptionButton1" hidden="1">
              <a:extLst>
                <a:ext uri="{63B3BB69-23CF-44E3-9099-C40C66FF867C}">
                  <a14:compatExt spid="_x0000_s38913"/>
                </a:ext>
                <a:ext uri="{FF2B5EF4-FFF2-40B4-BE49-F238E27FC236}">
                  <a16:creationId xmlns:a16="http://schemas.microsoft.com/office/drawing/2014/main" id="{00000000-0008-0000-1500-0000019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260350</xdr:rowOff>
        </xdr:from>
        <xdr:to>
          <xdr:col>10</xdr:col>
          <xdr:colOff>196850</xdr:colOff>
          <xdr:row>20</xdr:row>
          <xdr:rowOff>260350</xdr:rowOff>
        </xdr:to>
        <xdr:sp macro="" textlink="">
          <xdr:nvSpPr>
            <xdr:cNvPr id="38914" name="OptionButton2" hidden="1">
              <a:extLst>
                <a:ext uri="{63B3BB69-23CF-44E3-9099-C40C66FF867C}">
                  <a14:compatExt spid="_x0000_s38914"/>
                </a:ext>
                <a:ext uri="{FF2B5EF4-FFF2-40B4-BE49-F238E27FC236}">
                  <a16:creationId xmlns:a16="http://schemas.microsoft.com/office/drawing/2014/main" id="{00000000-0008-0000-1500-0000029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20</xdr:row>
          <xdr:rowOff>0</xdr:rowOff>
        </xdr:from>
        <xdr:to>
          <xdr:col>7</xdr:col>
          <xdr:colOff>165100</xdr:colOff>
          <xdr:row>21</xdr:row>
          <xdr:rowOff>298450</xdr:rowOff>
        </xdr:to>
        <xdr:sp macro="" textlink="">
          <xdr:nvSpPr>
            <xdr:cNvPr id="38915" name="Group Box 3" hidden="1">
              <a:extLst>
                <a:ext uri="{63B3BB69-23CF-44E3-9099-C40C66FF867C}">
                  <a14:compatExt spid="_x0000_s38915"/>
                </a:ext>
                <a:ext uri="{FF2B5EF4-FFF2-40B4-BE49-F238E27FC236}">
                  <a16:creationId xmlns:a16="http://schemas.microsoft.com/office/drawing/2014/main" id="{00000000-0008-0000-1500-0000039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21</xdr:row>
          <xdr:rowOff>165100</xdr:rowOff>
        </xdr:from>
        <xdr:to>
          <xdr:col>9</xdr:col>
          <xdr:colOff>50800</xdr:colOff>
          <xdr:row>22</xdr:row>
          <xdr:rowOff>0</xdr:rowOff>
        </xdr:to>
        <xdr:sp macro="" textlink="">
          <xdr:nvSpPr>
            <xdr:cNvPr id="38916" name="Check Box 4" hidden="1">
              <a:extLst>
                <a:ext uri="{63B3BB69-23CF-44E3-9099-C40C66FF867C}">
                  <a14:compatExt spid="_x0000_s38916"/>
                </a:ext>
                <a:ext uri="{FF2B5EF4-FFF2-40B4-BE49-F238E27FC236}">
                  <a16:creationId xmlns:a16="http://schemas.microsoft.com/office/drawing/2014/main" id="{00000000-0008-0000-1500-00000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Existing Ductwork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21</xdr:row>
          <xdr:rowOff>165100</xdr:rowOff>
        </xdr:from>
        <xdr:to>
          <xdr:col>10</xdr:col>
          <xdr:colOff>990600</xdr:colOff>
          <xdr:row>22</xdr:row>
          <xdr:rowOff>0</xdr:rowOff>
        </xdr:to>
        <xdr:sp macro="" textlink="">
          <xdr:nvSpPr>
            <xdr:cNvPr id="38917" name="Check Box 5" hidden="1">
              <a:extLst>
                <a:ext uri="{63B3BB69-23CF-44E3-9099-C40C66FF867C}">
                  <a14:compatExt spid="_x0000_s38917"/>
                </a:ext>
                <a:ext uri="{FF2B5EF4-FFF2-40B4-BE49-F238E27FC236}">
                  <a16:creationId xmlns:a16="http://schemas.microsoft.com/office/drawing/2014/main" id="{00000000-0008-0000-1500-00000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Variable Speed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65</xdr:row>
          <xdr:rowOff>0</xdr:rowOff>
        </xdr:from>
        <xdr:to>
          <xdr:col>4</xdr:col>
          <xdr:colOff>323850</xdr:colOff>
          <xdr:row>69</xdr:row>
          <xdr:rowOff>107950</xdr:rowOff>
        </xdr:to>
        <xdr:sp macro="" textlink="">
          <xdr:nvSpPr>
            <xdr:cNvPr id="38921" name="Group Box 9" hidden="1">
              <a:extLst>
                <a:ext uri="{63B3BB69-23CF-44E3-9099-C40C66FF867C}">
                  <a14:compatExt spid="_x0000_s38921"/>
                </a:ext>
                <a:ext uri="{FF2B5EF4-FFF2-40B4-BE49-F238E27FC236}">
                  <a16:creationId xmlns:a16="http://schemas.microsoft.com/office/drawing/2014/main" id="{00000000-0008-0000-1500-0000099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65</xdr:row>
          <xdr:rowOff>0</xdr:rowOff>
        </xdr:from>
        <xdr:to>
          <xdr:col>5</xdr:col>
          <xdr:colOff>50800</xdr:colOff>
          <xdr:row>66</xdr:row>
          <xdr:rowOff>50800</xdr:rowOff>
        </xdr:to>
        <xdr:sp macro="" textlink="">
          <xdr:nvSpPr>
            <xdr:cNvPr id="38922" name="Option Button 10" hidden="1">
              <a:extLst>
                <a:ext uri="{63B3BB69-23CF-44E3-9099-C40C66FF867C}">
                  <a14:compatExt spid="_x0000_s38922"/>
                </a:ext>
                <a:ext uri="{FF2B5EF4-FFF2-40B4-BE49-F238E27FC236}">
                  <a16:creationId xmlns:a16="http://schemas.microsoft.com/office/drawing/2014/main" id="{00000000-0008-0000-1500-00000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65</xdr:row>
          <xdr:rowOff>0</xdr:rowOff>
        </xdr:from>
        <xdr:to>
          <xdr:col>6</xdr:col>
          <xdr:colOff>0</xdr:colOff>
          <xdr:row>66</xdr:row>
          <xdr:rowOff>0</xdr:rowOff>
        </xdr:to>
        <xdr:sp macro="" textlink="">
          <xdr:nvSpPr>
            <xdr:cNvPr id="38923" name="Option Button 11" hidden="1">
              <a:extLst>
                <a:ext uri="{63B3BB69-23CF-44E3-9099-C40C66FF867C}">
                  <a14:compatExt spid="_x0000_s38923"/>
                </a:ext>
                <a:ext uri="{FF2B5EF4-FFF2-40B4-BE49-F238E27FC236}">
                  <a16:creationId xmlns:a16="http://schemas.microsoft.com/office/drawing/2014/main" id="{00000000-0008-0000-1500-00000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65</xdr:row>
          <xdr:rowOff>0</xdr:rowOff>
        </xdr:from>
        <xdr:to>
          <xdr:col>6</xdr:col>
          <xdr:colOff>533400</xdr:colOff>
          <xdr:row>67</xdr:row>
          <xdr:rowOff>152400</xdr:rowOff>
        </xdr:to>
        <xdr:sp macro="" textlink="">
          <xdr:nvSpPr>
            <xdr:cNvPr id="38924" name="Group Box 12" hidden="1">
              <a:extLst>
                <a:ext uri="{63B3BB69-23CF-44E3-9099-C40C66FF867C}">
                  <a14:compatExt spid="_x0000_s38924"/>
                </a:ext>
                <a:ext uri="{FF2B5EF4-FFF2-40B4-BE49-F238E27FC236}">
                  <a16:creationId xmlns:a16="http://schemas.microsoft.com/office/drawing/2014/main" id="{00000000-0008-0000-1500-00000C9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374650</xdr:colOff>
          <xdr:row>65</xdr:row>
          <xdr:rowOff>0</xdr:rowOff>
        </xdr:from>
        <xdr:to>
          <xdr:col>4</xdr:col>
          <xdr:colOff>323850</xdr:colOff>
          <xdr:row>68</xdr:row>
          <xdr:rowOff>107950</xdr:rowOff>
        </xdr:to>
        <xdr:sp macro="" textlink="">
          <xdr:nvSpPr>
            <xdr:cNvPr id="38925" name="Group Box 13" hidden="1">
              <a:extLst>
                <a:ext uri="{63B3BB69-23CF-44E3-9099-C40C66FF867C}">
                  <a14:compatExt spid="_x0000_s38925"/>
                </a:ext>
                <a:ext uri="{FF2B5EF4-FFF2-40B4-BE49-F238E27FC236}">
                  <a16:creationId xmlns:a16="http://schemas.microsoft.com/office/drawing/2014/main" id="{00000000-0008-0000-1500-00000D9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65</xdr:row>
          <xdr:rowOff>0</xdr:rowOff>
        </xdr:from>
        <xdr:to>
          <xdr:col>5</xdr:col>
          <xdr:colOff>50800</xdr:colOff>
          <xdr:row>66</xdr:row>
          <xdr:rowOff>50800</xdr:rowOff>
        </xdr:to>
        <xdr:sp macro="" textlink="">
          <xdr:nvSpPr>
            <xdr:cNvPr id="38926" name="Option Button 14" hidden="1">
              <a:extLst>
                <a:ext uri="{63B3BB69-23CF-44E3-9099-C40C66FF867C}">
                  <a14:compatExt spid="_x0000_s38926"/>
                </a:ext>
                <a:ext uri="{FF2B5EF4-FFF2-40B4-BE49-F238E27FC236}">
                  <a16:creationId xmlns:a16="http://schemas.microsoft.com/office/drawing/2014/main" id="{00000000-0008-0000-1500-00000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65</xdr:row>
          <xdr:rowOff>0</xdr:rowOff>
        </xdr:from>
        <xdr:to>
          <xdr:col>6</xdr:col>
          <xdr:colOff>0</xdr:colOff>
          <xdr:row>66</xdr:row>
          <xdr:rowOff>0</xdr:rowOff>
        </xdr:to>
        <xdr:sp macro="" textlink="">
          <xdr:nvSpPr>
            <xdr:cNvPr id="38927" name="Option Button 15" hidden="1">
              <a:extLst>
                <a:ext uri="{63B3BB69-23CF-44E3-9099-C40C66FF867C}">
                  <a14:compatExt spid="_x0000_s38927"/>
                </a:ext>
                <a:ext uri="{FF2B5EF4-FFF2-40B4-BE49-F238E27FC236}">
                  <a16:creationId xmlns:a16="http://schemas.microsoft.com/office/drawing/2014/main" id="{00000000-0008-0000-1500-00000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65</xdr:row>
          <xdr:rowOff>0</xdr:rowOff>
        </xdr:from>
        <xdr:to>
          <xdr:col>6</xdr:col>
          <xdr:colOff>323850</xdr:colOff>
          <xdr:row>67</xdr:row>
          <xdr:rowOff>165100</xdr:rowOff>
        </xdr:to>
        <xdr:sp macro="" textlink="">
          <xdr:nvSpPr>
            <xdr:cNvPr id="38928" name="Group Box 16" hidden="1">
              <a:extLst>
                <a:ext uri="{63B3BB69-23CF-44E3-9099-C40C66FF867C}">
                  <a14:compatExt spid="_x0000_s38928"/>
                </a:ext>
                <a:ext uri="{FF2B5EF4-FFF2-40B4-BE49-F238E27FC236}">
                  <a16:creationId xmlns:a16="http://schemas.microsoft.com/office/drawing/2014/main" id="{00000000-0008-0000-1500-0000109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70</xdr:row>
          <xdr:rowOff>0</xdr:rowOff>
        </xdr:from>
        <xdr:to>
          <xdr:col>1</xdr:col>
          <xdr:colOff>641350</xdr:colOff>
          <xdr:row>71</xdr:row>
          <xdr:rowOff>82550</xdr:rowOff>
        </xdr:to>
        <xdr:sp macro="" textlink="">
          <xdr:nvSpPr>
            <xdr:cNvPr id="38930" name="OptionButton7" hidden="1">
              <a:extLst>
                <a:ext uri="{63B3BB69-23CF-44E3-9099-C40C66FF867C}">
                  <a14:compatExt spid="_x0000_s38930"/>
                </a:ext>
                <a:ext uri="{FF2B5EF4-FFF2-40B4-BE49-F238E27FC236}">
                  <a16:creationId xmlns:a16="http://schemas.microsoft.com/office/drawing/2014/main" id="{00000000-0008-0000-1500-0000129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317500</xdr:colOff>
          <xdr:row>68</xdr:row>
          <xdr:rowOff>209550</xdr:rowOff>
        </xdr:from>
        <xdr:to>
          <xdr:col>4</xdr:col>
          <xdr:colOff>323850</xdr:colOff>
          <xdr:row>72</xdr:row>
          <xdr:rowOff>12700</xdr:rowOff>
        </xdr:to>
        <xdr:sp macro="" textlink="">
          <xdr:nvSpPr>
            <xdr:cNvPr id="38932" name="Group Box 20" hidden="1">
              <a:extLst>
                <a:ext uri="{63B3BB69-23CF-44E3-9099-C40C66FF867C}">
                  <a14:compatExt spid="_x0000_s38932"/>
                </a:ext>
                <a:ext uri="{FF2B5EF4-FFF2-40B4-BE49-F238E27FC236}">
                  <a16:creationId xmlns:a16="http://schemas.microsoft.com/office/drawing/2014/main" id="{00000000-0008-0000-1500-0000149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889000</xdr:colOff>
          <xdr:row>37</xdr:row>
          <xdr:rowOff>127000</xdr:rowOff>
        </xdr:from>
        <xdr:to>
          <xdr:col>3</xdr:col>
          <xdr:colOff>889000</xdr:colOff>
          <xdr:row>38</xdr:row>
          <xdr:rowOff>127000</xdr:rowOff>
        </xdr:to>
        <xdr:sp macro="" textlink="">
          <xdr:nvSpPr>
            <xdr:cNvPr id="38933" name="Option Button 21" hidden="1">
              <a:extLst>
                <a:ext uri="{63B3BB69-23CF-44E3-9099-C40C66FF867C}">
                  <a14:compatExt spid="_x0000_s38933"/>
                </a:ext>
                <a:ext uri="{FF2B5EF4-FFF2-40B4-BE49-F238E27FC236}">
                  <a16:creationId xmlns:a16="http://schemas.microsoft.com/office/drawing/2014/main" id="{00000000-0008-0000-1500-00001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WEIGH 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889000</xdr:colOff>
          <xdr:row>37</xdr:row>
          <xdr:rowOff>50800</xdr:rowOff>
        </xdr:from>
        <xdr:to>
          <xdr:col>4</xdr:col>
          <xdr:colOff>69850</xdr:colOff>
          <xdr:row>38</xdr:row>
          <xdr:rowOff>50800</xdr:rowOff>
        </xdr:to>
        <xdr:sp macro="" textlink="">
          <xdr:nvSpPr>
            <xdr:cNvPr id="38934" name="Option Button 22" hidden="1">
              <a:extLst>
                <a:ext uri="{63B3BB69-23CF-44E3-9099-C40C66FF867C}">
                  <a14:compatExt spid="_x0000_s38934"/>
                </a:ext>
                <a:ext uri="{FF2B5EF4-FFF2-40B4-BE49-F238E27FC236}">
                  <a16:creationId xmlns:a16="http://schemas.microsoft.com/office/drawing/2014/main" id="{00000000-0008-0000-1500-00001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SUPERHEAT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37</xdr:row>
          <xdr:rowOff>50800</xdr:rowOff>
        </xdr:from>
        <xdr:to>
          <xdr:col>5</xdr:col>
          <xdr:colOff>527050</xdr:colOff>
          <xdr:row>38</xdr:row>
          <xdr:rowOff>50800</xdr:rowOff>
        </xdr:to>
        <xdr:sp macro="" textlink="">
          <xdr:nvSpPr>
            <xdr:cNvPr id="38935" name="Option Button 23" hidden="1">
              <a:extLst>
                <a:ext uri="{63B3BB69-23CF-44E3-9099-C40C66FF867C}">
                  <a14:compatExt spid="_x0000_s38935"/>
                </a:ext>
                <a:ext uri="{FF2B5EF4-FFF2-40B4-BE49-F238E27FC236}">
                  <a16:creationId xmlns:a16="http://schemas.microsoft.com/office/drawing/2014/main" id="{00000000-0008-0000-1500-00001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SUBCOOLING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36</xdr:row>
          <xdr:rowOff>266700</xdr:rowOff>
        </xdr:from>
        <xdr:to>
          <xdr:col>14</xdr:col>
          <xdr:colOff>895350</xdr:colOff>
          <xdr:row>39</xdr:row>
          <xdr:rowOff>50800</xdr:rowOff>
        </xdr:to>
        <xdr:sp macro="" textlink="">
          <xdr:nvSpPr>
            <xdr:cNvPr id="38937" name="Group Box 25" hidden="1">
              <a:extLst>
                <a:ext uri="{63B3BB69-23CF-44E3-9099-C40C66FF867C}">
                  <a14:compatExt spid="_x0000_s38937"/>
                </a:ext>
                <a:ext uri="{FF2B5EF4-FFF2-40B4-BE49-F238E27FC236}">
                  <a16:creationId xmlns:a16="http://schemas.microsoft.com/office/drawing/2014/main" id="{00000000-0008-0000-1500-0000199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44</xdr:row>
          <xdr:rowOff>0</xdr:rowOff>
        </xdr:from>
        <xdr:to>
          <xdr:col>2</xdr:col>
          <xdr:colOff>120650</xdr:colOff>
          <xdr:row>45</xdr:row>
          <xdr:rowOff>82550</xdr:rowOff>
        </xdr:to>
        <xdr:sp macro="" textlink="">
          <xdr:nvSpPr>
            <xdr:cNvPr id="38939" name="OptionButton10" hidden="1">
              <a:extLst>
                <a:ext uri="{63B3BB69-23CF-44E3-9099-C40C66FF867C}">
                  <a14:compatExt spid="_x0000_s38939"/>
                </a:ext>
                <a:ext uri="{FF2B5EF4-FFF2-40B4-BE49-F238E27FC236}">
                  <a16:creationId xmlns:a16="http://schemas.microsoft.com/office/drawing/2014/main" id="{00000000-0008-0000-1500-00001B9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571500</xdr:colOff>
          <xdr:row>42</xdr:row>
          <xdr:rowOff>209550</xdr:rowOff>
        </xdr:from>
        <xdr:to>
          <xdr:col>4</xdr:col>
          <xdr:colOff>323850</xdr:colOff>
          <xdr:row>46</xdr:row>
          <xdr:rowOff>12700</xdr:rowOff>
        </xdr:to>
        <xdr:sp macro="" textlink="">
          <xdr:nvSpPr>
            <xdr:cNvPr id="38941" name="Group Box 29" hidden="1">
              <a:extLst>
                <a:ext uri="{63B3BB69-23CF-44E3-9099-C40C66FF867C}">
                  <a14:compatExt spid="_x0000_s38941"/>
                </a:ext>
                <a:ext uri="{FF2B5EF4-FFF2-40B4-BE49-F238E27FC236}">
                  <a16:creationId xmlns:a16="http://schemas.microsoft.com/office/drawing/2014/main" id="{00000000-0008-0000-1500-00001D9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565150</xdr:colOff>
          <xdr:row>120</xdr:row>
          <xdr:rowOff>171450</xdr:rowOff>
        </xdr:from>
        <xdr:to>
          <xdr:col>14</xdr:col>
          <xdr:colOff>730250</xdr:colOff>
          <xdr:row>123</xdr:row>
          <xdr:rowOff>38100</xdr:rowOff>
        </xdr:to>
        <xdr:sp macro="" textlink="">
          <xdr:nvSpPr>
            <xdr:cNvPr id="38946" name="CommandButton1" hidden="1">
              <a:extLst>
                <a:ext uri="{63B3BB69-23CF-44E3-9099-C40C66FF867C}">
                  <a14:compatExt spid="_x0000_s38946"/>
                </a:ext>
                <a:ext uri="{FF2B5EF4-FFF2-40B4-BE49-F238E27FC236}">
                  <a16:creationId xmlns:a16="http://schemas.microsoft.com/office/drawing/2014/main" id="{00000000-0008-0000-1500-0000229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450850</xdr:colOff>
          <xdr:row>9</xdr:row>
          <xdr:rowOff>107950</xdr:rowOff>
        </xdr:from>
        <xdr:to>
          <xdr:col>3</xdr:col>
          <xdr:colOff>0</xdr:colOff>
          <xdr:row>9</xdr:row>
          <xdr:rowOff>190500</xdr:rowOff>
        </xdr:to>
        <xdr:sp macro="" textlink="">
          <xdr:nvSpPr>
            <xdr:cNvPr id="39007" name="Check Box 95" hidden="1">
              <a:extLst>
                <a:ext uri="{63B3BB69-23CF-44E3-9099-C40C66FF867C}">
                  <a14:compatExt spid="_x0000_s39007"/>
                </a:ext>
                <a:ext uri="{FF2B5EF4-FFF2-40B4-BE49-F238E27FC236}">
                  <a16:creationId xmlns:a16="http://schemas.microsoft.com/office/drawing/2014/main" id="{00000000-0008-0000-1500-00005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9</xdr:row>
          <xdr:rowOff>114300</xdr:rowOff>
        </xdr:from>
        <xdr:to>
          <xdr:col>3</xdr:col>
          <xdr:colOff>666750</xdr:colOff>
          <xdr:row>9</xdr:row>
          <xdr:rowOff>203200</xdr:rowOff>
        </xdr:to>
        <xdr:sp macro="" textlink="">
          <xdr:nvSpPr>
            <xdr:cNvPr id="39009" name="Check Box 97" hidden="1">
              <a:extLst>
                <a:ext uri="{63B3BB69-23CF-44E3-9099-C40C66FF867C}">
                  <a14:compatExt spid="_x0000_s39009"/>
                </a:ext>
                <a:ext uri="{FF2B5EF4-FFF2-40B4-BE49-F238E27FC236}">
                  <a16:creationId xmlns:a16="http://schemas.microsoft.com/office/drawing/2014/main" id="{00000000-0008-0000-1500-00006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xdr:row>
          <xdr:rowOff>107950</xdr:rowOff>
        </xdr:from>
        <xdr:to>
          <xdr:col>1</xdr:col>
          <xdr:colOff>450850</xdr:colOff>
          <xdr:row>9</xdr:row>
          <xdr:rowOff>203200</xdr:rowOff>
        </xdr:to>
        <xdr:sp macro="" textlink="">
          <xdr:nvSpPr>
            <xdr:cNvPr id="39010" name="Check Box 98" hidden="1">
              <a:extLst>
                <a:ext uri="{63B3BB69-23CF-44E3-9099-C40C66FF867C}">
                  <a14:compatExt spid="_x0000_s39010"/>
                </a:ext>
                <a:ext uri="{FF2B5EF4-FFF2-40B4-BE49-F238E27FC236}">
                  <a16:creationId xmlns:a16="http://schemas.microsoft.com/office/drawing/2014/main" id="{00000000-0008-0000-1500-00006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736600</xdr:colOff>
          <xdr:row>9</xdr:row>
          <xdr:rowOff>107950</xdr:rowOff>
        </xdr:from>
        <xdr:to>
          <xdr:col>4</xdr:col>
          <xdr:colOff>717550</xdr:colOff>
          <xdr:row>9</xdr:row>
          <xdr:rowOff>190500</xdr:rowOff>
        </xdr:to>
        <xdr:sp macro="" textlink="">
          <xdr:nvSpPr>
            <xdr:cNvPr id="39064" name="Check Box 152" hidden="1">
              <a:extLst>
                <a:ext uri="{63B3BB69-23CF-44E3-9099-C40C66FF867C}">
                  <a14:compatExt spid="_x0000_s39064"/>
                </a:ext>
                <a:ext uri="{FF2B5EF4-FFF2-40B4-BE49-F238E27FC236}">
                  <a16:creationId xmlns:a16="http://schemas.microsoft.com/office/drawing/2014/main" id="{00000000-0008-0000-1500-00009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96</xdr:row>
          <xdr:rowOff>0</xdr:rowOff>
        </xdr:from>
        <xdr:to>
          <xdr:col>4</xdr:col>
          <xdr:colOff>323850</xdr:colOff>
          <xdr:row>100</xdr:row>
          <xdr:rowOff>146050</xdr:rowOff>
        </xdr:to>
        <xdr:sp macro="" textlink="">
          <xdr:nvSpPr>
            <xdr:cNvPr id="39065" name="Group Box 153" hidden="1">
              <a:extLst>
                <a:ext uri="{63B3BB69-23CF-44E3-9099-C40C66FF867C}">
                  <a14:compatExt spid="_x0000_s39065"/>
                </a:ext>
                <a:ext uri="{FF2B5EF4-FFF2-40B4-BE49-F238E27FC236}">
                  <a16:creationId xmlns:a16="http://schemas.microsoft.com/office/drawing/2014/main" id="{00000000-0008-0000-1500-0000999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103</xdr:row>
          <xdr:rowOff>0</xdr:rowOff>
        </xdr:from>
        <xdr:to>
          <xdr:col>5</xdr:col>
          <xdr:colOff>50800</xdr:colOff>
          <xdr:row>104</xdr:row>
          <xdr:rowOff>50800</xdr:rowOff>
        </xdr:to>
        <xdr:sp macro="" textlink="">
          <xdr:nvSpPr>
            <xdr:cNvPr id="39066" name="Option Button 154" hidden="1">
              <a:extLst>
                <a:ext uri="{63B3BB69-23CF-44E3-9099-C40C66FF867C}">
                  <a14:compatExt spid="_x0000_s39066"/>
                </a:ext>
                <a:ext uri="{FF2B5EF4-FFF2-40B4-BE49-F238E27FC236}">
                  <a16:creationId xmlns:a16="http://schemas.microsoft.com/office/drawing/2014/main" id="{00000000-0008-0000-1500-00009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103</xdr:row>
          <xdr:rowOff>12700</xdr:rowOff>
        </xdr:from>
        <xdr:to>
          <xdr:col>6</xdr:col>
          <xdr:colOff>0</xdr:colOff>
          <xdr:row>104</xdr:row>
          <xdr:rowOff>12700</xdr:rowOff>
        </xdr:to>
        <xdr:sp macro="" textlink="">
          <xdr:nvSpPr>
            <xdr:cNvPr id="39067" name="Option Button 155" hidden="1">
              <a:extLst>
                <a:ext uri="{63B3BB69-23CF-44E3-9099-C40C66FF867C}">
                  <a14:compatExt spid="_x0000_s39067"/>
                </a:ext>
                <a:ext uri="{FF2B5EF4-FFF2-40B4-BE49-F238E27FC236}">
                  <a16:creationId xmlns:a16="http://schemas.microsoft.com/office/drawing/2014/main" id="{00000000-0008-0000-1500-00009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102</xdr:row>
          <xdr:rowOff>12700</xdr:rowOff>
        </xdr:from>
        <xdr:to>
          <xdr:col>6</xdr:col>
          <xdr:colOff>533400</xdr:colOff>
          <xdr:row>104</xdr:row>
          <xdr:rowOff>165100</xdr:rowOff>
        </xdr:to>
        <xdr:sp macro="" textlink="">
          <xdr:nvSpPr>
            <xdr:cNvPr id="39068" name="Group Box 156" hidden="1">
              <a:extLst>
                <a:ext uri="{63B3BB69-23CF-44E3-9099-C40C66FF867C}">
                  <a14:compatExt spid="_x0000_s39068"/>
                </a:ext>
                <a:ext uri="{FF2B5EF4-FFF2-40B4-BE49-F238E27FC236}">
                  <a16:creationId xmlns:a16="http://schemas.microsoft.com/office/drawing/2014/main" id="{00000000-0008-0000-1500-00009C9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374650</xdr:colOff>
          <xdr:row>96</xdr:row>
          <xdr:rowOff>76200</xdr:rowOff>
        </xdr:from>
        <xdr:to>
          <xdr:col>4</xdr:col>
          <xdr:colOff>323850</xdr:colOff>
          <xdr:row>100</xdr:row>
          <xdr:rowOff>38100</xdr:rowOff>
        </xdr:to>
        <xdr:sp macro="" textlink="">
          <xdr:nvSpPr>
            <xdr:cNvPr id="39069" name="Group Box 157" hidden="1">
              <a:extLst>
                <a:ext uri="{63B3BB69-23CF-44E3-9099-C40C66FF867C}">
                  <a14:compatExt spid="_x0000_s39069"/>
                </a:ext>
                <a:ext uri="{FF2B5EF4-FFF2-40B4-BE49-F238E27FC236}">
                  <a16:creationId xmlns:a16="http://schemas.microsoft.com/office/drawing/2014/main" id="{00000000-0008-0000-1500-00009D9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106</xdr:row>
          <xdr:rowOff>0</xdr:rowOff>
        </xdr:from>
        <xdr:to>
          <xdr:col>5</xdr:col>
          <xdr:colOff>50800</xdr:colOff>
          <xdr:row>107</xdr:row>
          <xdr:rowOff>50800</xdr:rowOff>
        </xdr:to>
        <xdr:sp macro="" textlink="">
          <xdr:nvSpPr>
            <xdr:cNvPr id="39070" name="Option Button 158" hidden="1">
              <a:extLst>
                <a:ext uri="{63B3BB69-23CF-44E3-9099-C40C66FF867C}">
                  <a14:compatExt spid="_x0000_s39070"/>
                </a:ext>
                <a:ext uri="{FF2B5EF4-FFF2-40B4-BE49-F238E27FC236}">
                  <a16:creationId xmlns:a16="http://schemas.microsoft.com/office/drawing/2014/main" id="{00000000-0008-0000-1500-00009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106</xdr:row>
          <xdr:rowOff>12700</xdr:rowOff>
        </xdr:from>
        <xdr:to>
          <xdr:col>6</xdr:col>
          <xdr:colOff>0</xdr:colOff>
          <xdr:row>107</xdr:row>
          <xdr:rowOff>12700</xdr:rowOff>
        </xdr:to>
        <xdr:sp macro="" textlink="">
          <xdr:nvSpPr>
            <xdr:cNvPr id="39071" name="Option Button 159" hidden="1">
              <a:extLst>
                <a:ext uri="{63B3BB69-23CF-44E3-9099-C40C66FF867C}">
                  <a14:compatExt spid="_x0000_s39071"/>
                </a:ext>
                <a:ext uri="{FF2B5EF4-FFF2-40B4-BE49-F238E27FC236}">
                  <a16:creationId xmlns:a16="http://schemas.microsoft.com/office/drawing/2014/main" id="{00000000-0008-0000-1500-00009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105</xdr:row>
          <xdr:rowOff>69850</xdr:rowOff>
        </xdr:from>
        <xdr:to>
          <xdr:col>6</xdr:col>
          <xdr:colOff>323850</xdr:colOff>
          <xdr:row>108</xdr:row>
          <xdr:rowOff>50800</xdr:rowOff>
        </xdr:to>
        <xdr:sp macro="" textlink="">
          <xdr:nvSpPr>
            <xdr:cNvPr id="39072" name="Group Box 160" hidden="1">
              <a:extLst>
                <a:ext uri="{63B3BB69-23CF-44E3-9099-C40C66FF867C}">
                  <a14:compatExt spid="_x0000_s39072"/>
                </a:ext>
                <a:ext uri="{FF2B5EF4-FFF2-40B4-BE49-F238E27FC236}">
                  <a16:creationId xmlns:a16="http://schemas.microsoft.com/office/drawing/2014/main" id="{00000000-0008-0000-1500-0000A09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42</a:t>
              </a:r>
            </a:p>
          </xdr:txBody>
        </xdr:sp>
        <xdr:clientData/>
      </xdr:twoCellAnchor>
    </mc:Choice>
    <mc:Fallback/>
  </mc:AlternateContent>
</xdr:wsDr>
</file>

<file path=xl/drawings/drawing19.xml><?xml version="1.0" encoding="utf-8"?>
<xdr:wsDr xmlns:xdr="http://schemas.openxmlformats.org/drawingml/2006/spreadsheetDrawing" xmlns:a="http://schemas.openxmlformats.org/drawingml/2006/main">
  <xdr:twoCellAnchor editAs="oneCell">
    <xdr:from>
      <xdr:col>10</xdr:col>
      <xdr:colOff>952852</xdr:colOff>
      <xdr:row>0</xdr:row>
      <xdr:rowOff>479425</xdr:rowOff>
    </xdr:from>
    <xdr:to>
      <xdr:col>14</xdr:col>
      <xdr:colOff>574674</xdr:colOff>
      <xdr:row>1</xdr:row>
      <xdr:rowOff>485775</xdr:rowOff>
    </xdr:to>
    <xdr:pic>
      <xdr:nvPicPr>
        <xdr:cNvPr id="124172" name="Picture 1">
          <a:extLst>
            <a:ext uri="{FF2B5EF4-FFF2-40B4-BE49-F238E27FC236}">
              <a16:creationId xmlns:a16="http://schemas.microsoft.com/office/drawing/2014/main" id="{00000000-0008-0000-1700-00000CE50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76102" y="479425"/>
          <a:ext cx="3082572" cy="69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69850</xdr:colOff>
          <xdr:row>19</xdr:row>
          <xdr:rowOff>165100</xdr:rowOff>
        </xdr:from>
        <xdr:to>
          <xdr:col>6</xdr:col>
          <xdr:colOff>419100</xdr:colOff>
          <xdr:row>20</xdr:row>
          <xdr:rowOff>69850</xdr:rowOff>
        </xdr:to>
        <xdr:sp macro="" textlink="">
          <xdr:nvSpPr>
            <xdr:cNvPr id="37889" name="OptionButton1" hidden="1">
              <a:extLst>
                <a:ext uri="{63B3BB69-23CF-44E3-9099-C40C66FF867C}">
                  <a14:compatExt spid="_x0000_s37889"/>
                </a:ext>
                <a:ext uri="{FF2B5EF4-FFF2-40B4-BE49-F238E27FC236}">
                  <a16:creationId xmlns:a16="http://schemas.microsoft.com/office/drawing/2014/main" id="{00000000-0008-0000-1600-0000019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165100</xdr:rowOff>
        </xdr:from>
        <xdr:to>
          <xdr:col>10</xdr:col>
          <xdr:colOff>190500</xdr:colOff>
          <xdr:row>20</xdr:row>
          <xdr:rowOff>165100</xdr:rowOff>
        </xdr:to>
        <xdr:sp macro="" textlink="">
          <xdr:nvSpPr>
            <xdr:cNvPr id="37890" name="OptionButton2" hidden="1">
              <a:extLst>
                <a:ext uri="{63B3BB69-23CF-44E3-9099-C40C66FF867C}">
                  <a14:compatExt spid="_x0000_s37890"/>
                </a:ext>
                <a:ext uri="{FF2B5EF4-FFF2-40B4-BE49-F238E27FC236}">
                  <a16:creationId xmlns:a16="http://schemas.microsoft.com/office/drawing/2014/main" id="{00000000-0008-0000-1600-0000029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19</xdr:row>
          <xdr:rowOff>57150</xdr:rowOff>
        </xdr:from>
        <xdr:to>
          <xdr:col>7</xdr:col>
          <xdr:colOff>69850</xdr:colOff>
          <xdr:row>20</xdr:row>
          <xdr:rowOff>336550</xdr:rowOff>
        </xdr:to>
        <xdr:sp macro="" textlink="">
          <xdr:nvSpPr>
            <xdr:cNvPr id="37891" name="Group Box 3" hidden="1">
              <a:extLst>
                <a:ext uri="{63B3BB69-23CF-44E3-9099-C40C66FF867C}">
                  <a14:compatExt spid="_x0000_s37891"/>
                </a:ext>
                <a:ext uri="{FF2B5EF4-FFF2-40B4-BE49-F238E27FC236}">
                  <a16:creationId xmlns:a16="http://schemas.microsoft.com/office/drawing/2014/main" id="{00000000-0008-0000-1600-0000039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21</xdr:row>
          <xdr:rowOff>165100</xdr:rowOff>
        </xdr:from>
        <xdr:to>
          <xdr:col>9</xdr:col>
          <xdr:colOff>50800</xdr:colOff>
          <xdr:row>22</xdr:row>
          <xdr:rowOff>0</xdr:rowOff>
        </xdr:to>
        <xdr:sp macro="" textlink="">
          <xdr:nvSpPr>
            <xdr:cNvPr id="37892" name="Check Box 4" hidden="1">
              <a:extLst>
                <a:ext uri="{63B3BB69-23CF-44E3-9099-C40C66FF867C}">
                  <a14:compatExt spid="_x0000_s37892"/>
                </a:ext>
                <a:ext uri="{FF2B5EF4-FFF2-40B4-BE49-F238E27FC236}">
                  <a16:creationId xmlns:a16="http://schemas.microsoft.com/office/drawing/2014/main" id="{00000000-0008-0000-1600-00000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Existing Ductwork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21</xdr:row>
          <xdr:rowOff>165100</xdr:rowOff>
        </xdr:from>
        <xdr:to>
          <xdr:col>10</xdr:col>
          <xdr:colOff>990600</xdr:colOff>
          <xdr:row>22</xdr:row>
          <xdr:rowOff>0</xdr:rowOff>
        </xdr:to>
        <xdr:sp macro="" textlink="">
          <xdr:nvSpPr>
            <xdr:cNvPr id="37893" name="Check Box 5" hidden="1">
              <a:extLst>
                <a:ext uri="{63B3BB69-23CF-44E3-9099-C40C66FF867C}">
                  <a14:compatExt spid="_x0000_s37893"/>
                </a:ext>
                <a:ext uri="{FF2B5EF4-FFF2-40B4-BE49-F238E27FC236}">
                  <a16:creationId xmlns:a16="http://schemas.microsoft.com/office/drawing/2014/main" id="{00000000-0008-0000-1600-00000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Variable Speed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65</xdr:row>
          <xdr:rowOff>0</xdr:rowOff>
        </xdr:from>
        <xdr:to>
          <xdr:col>4</xdr:col>
          <xdr:colOff>241300</xdr:colOff>
          <xdr:row>69</xdr:row>
          <xdr:rowOff>95250</xdr:rowOff>
        </xdr:to>
        <xdr:sp macro="" textlink="">
          <xdr:nvSpPr>
            <xdr:cNvPr id="37897" name="Group Box 9" hidden="1">
              <a:extLst>
                <a:ext uri="{63B3BB69-23CF-44E3-9099-C40C66FF867C}">
                  <a14:compatExt spid="_x0000_s37897"/>
                </a:ext>
                <a:ext uri="{FF2B5EF4-FFF2-40B4-BE49-F238E27FC236}">
                  <a16:creationId xmlns:a16="http://schemas.microsoft.com/office/drawing/2014/main" id="{00000000-0008-0000-1600-0000099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65</xdr:row>
          <xdr:rowOff>0</xdr:rowOff>
        </xdr:from>
        <xdr:to>
          <xdr:col>5</xdr:col>
          <xdr:colOff>50800</xdr:colOff>
          <xdr:row>66</xdr:row>
          <xdr:rowOff>50800</xdr:rowOff>
        </xdr:to>
        <xdr:sp macro="" textlink="">
          <xdr:nvSpPr>
            <xdr:cNvPr id="37898" name="Option Button 10" hidden="1">
              <a:extLst>
                <a:ext uri="{63B3BB69-23CF-44E3-9099-C40C66FF867C}">
                  <a14:compatExt spid="_x0000_s37898"/>
                </a:ext>
                <a:ext uri="{FF2B5EF4-FFF2-40B4-BE49-F238E27FC236}">
                  <a16:creationId xmlns:a16="http://schemas.microsoft.com/office/drawing/2014/main" id="{00000000-0008-0000-1600-00000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65</xdr:row>
          <xdr:rowOff>0</xdr:rowOff>
        </xdr:from>
        <xdr:to>
          <xdr:col>6</xdr:col>
          <xdr:colOff>0</xdr:colOff>
          <xdr:row>66</xdr:row>
          <xdr:rowOff>0</xdr:rowOff>
        </xdr:to>
        <xdr:sp macro="" textlink="">
          <xdr:nvSpPr>
            <xdr:cNvPr id="37899" name="Option Button 11" hidden="1">
              <a:extLst>
                <a:ext uri="{63B3BB69-23CF-44E3-9099-C40C66FF867C}">
                  <a14:compatExt spid="_x0000_s37899"/>
                </a:ext>
                <a:ext uri="{FF2B5EF4-FFF2-40B4-BE49-F238E27FC236}">
                  <a16:creationId xmlns:a16="http://schemas.microsoft.com/office/drawing/2014/main" id="{00000000-0008-0000-1600-00000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65</xdr:row>
          <xdr:rowOff>0</xdr:rowOff>
        </xdr:from>
        <xdr:to>
          <xdr:col>6</xdr:col>
          <xdr:colOff>533400</xdr:colOff>
          <xdr:row>67</xdr:row>
          <xdr:rowOff>152400</xdr:rowOff>
        </xdr:to>
        <xdr:sp macro="" textlink="">
          <xdr:nvSpPr>
            <xdr:cNvPr id="37900" name="Group Box 12" hidden="1">
              <a:extLst>
                <a:ext uri="{63B3BB69-23CF-44E3-9099-C40C66FF867C}">
                  <a14:compatExt spid="_x0000_s37900"/>
                </a:ext>
                <a:ext uri="{FF2B5EF4-FFF2-40B4-BE49-F238E27FC236}">
                  <a16:creationId xmlns:a16="http://schemas.microsoft.com/office/drawing/2014/main" id="{00000000-0008-0000-1600-00000C9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374650</xdr:colOff>
          <xdr:row>65</xdr:row>
          <xdr:rowOff>0</xdr:rowOff>
        </xdr:from>
        <xdr:to>
          <xdr:col>4</xdr:col>
          <xdr:colOff>241300</xdr:colOff>
          <xdr:row>68</xdr:row>
          <xdr:rowOff>95250</xdr:rowOff>
        </xdr:to>
        <xdr:sp macro="" textlink="">
          <xdr:nvSpPr>
            <xdr:cNvPr id="37901" name="Group Box 13" hidden="1">
              <a:extLst>
                <a:ext uri="{63B3BB69-23CF-44E3-9099-C40C66FF867C}">
                  <a14:compatExt spid="_x0000_s37901"/>
                </a:ext>
                <a:ext uri="{FF2B5EF4-FFF2-40B4-BE49-F238E27FC236}">
                  <a16:creationId xmlns:a16="http://schemas.microsoft.com/office/drawing/2014/main" id="{00000000-0008-0000-1600-00000D9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65</xdr:row>
          <xdr:rowOff>0</xdr:rowOff>
        </xdr:from>
        <xdr:to>
          <xdr:col>5</xdr:col>
          <xdr:colOff>50800</xdr:colOff>
          <xdr:row>66</xdr:row>
          <xdr:rowOff>50800</xdr:rowOff>
        </xdr:to>
        <xdr:sp macro="" textlink="">
          <xdr:nvSpPr>
            <xdr:cNvPr id="37902" name="Option Button 14" hidden="1">
              <a:extLst>
                <a:ext uri="{63B3BB69-23CF-44E3-9099-C40C66FF867C}">
                  <a14:compatExt spid="_x0000_s37902"/>
                </a:ext>
                <a:ext uri="{FF2B5EF4-FFF2-40B4-BE49-F238E27FC236}">
                  <a16:creationId xmlns:a16="http://schemas.microsoft.com/office/drawing/2014/main" id="{00000000-0008-0000-1600-00000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65</xdr:row>
          <xdr:rowOff>0</xdr:rowOff>
        </xdr:from>
        <xdr:to>
          <xdr:col>6</xdr:col>
          <xdr:colOff>0</xdr:colOff>
          <xdr:row>66</xdr:row>
          <xdr:rowOff>0</xdr:rowOff>
        </xdr:to>
        <xdr:sp macro="" textlink="">
          <xdr:nvSpPr>
            <xdr:cNvPr id="37903" name="Option Button 15" hidden="1">
              <a:extLst>
                <a:ext uri="{63B3BB69-23CF-44E3-9099-C40C66FF867C}">
                  <a14:compatExt spid="_x0000_s37903"/>
                </a:ext>
                <a:ext uri="{FF2B5EF4-FFF2-40B4-BE49-F238E27FC236}">
                  <a16:creationId xmlns:a16="http://schemas.microsoft.com/office/drawing/2014/main" id="{00000000-0008-0000-1600-00000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65</xdr:row>
          <xdr:rowOff>0</xdr:rowOff>
        </xdr:from>
        <xdr:to>
          <xdr:col>6</xdr:col>
          <xdr:colOff>323850</xdr:colOff>
          <xdr:row>67</xdr:row>
          <xdr:rowOff>165100</xdr:rowOff>
        </xdr:to>
        <xdr:sp macro="" textlink="">
          <xdr:nvSpPr>
            <xdr:cNvPr id="37904" name="Group Box 16" hidden="1">
              <a:extLst>
                <a:ext uri="{63B3BB69-23CF-44E3-9099-C40C66FF867C}">
                  <a14:compatExt spid="_x0000_s37904"/>
                </a:ext>
                <a:ext uri="{FF2B5EF4-FFF2-40B4-BE49-F238E27FC236}">
                  <a16:creationId xmlns:a16="http://schemas.microsoft.com/office/drawing/2014/main" id="{00000000-0008-0000-1600-0000109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70</xdr:row>
          <xdr:rowOff>0</xdr:rowOff>
        </xdr:from>
        <xdr:to>
          <xdr:col>1</xdr:col>
          <xdr:colOff>654050</xdr:colOff>
          <xdr:row>71</xdr:row>
          <xdr:rowOff>82550</xdr:rowOff>
        </xdr:to>
        <xdr:sp macro="" textlink="">
          <xdr:nvSpPr>
            <xdr:cNvPr id="37906" name="OptionButton7" hidden="1">
              <a:extLst>
                <a:ext uri="{63B3BB69-23CF-44E3-9099-C40C66FF867C}">
                  <a14:compatExt spid="_x0000_s37906"/>
                </a:ext>
                <a:ext uri="{FF2B5EF4-FFF2-40B4-BE49-F238E27FC236}">
                  <a16:creationId xmlns:a16="http://schemas.microsoft.com/office/drawing/2014/main" id="{00000000-0008-0000-1600-0000129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317500</xdr:colOff>
          <xdr:row>68</xdr:row>
          <xdr:rowOff>209550</xdr:rowOff>
        </xdr:from>
        <xdr:to>
          <xdr:col>4</xdr:col>
          <xdr:colOff>241300</xdr:colOff>
          <xdr:row>72</xdr:row>
          <xdr:rowOff>12700</xdr:rowOff>
        </xdr:to>
        <xdr:sp macro="" textlink="">
          <xdr:nvSpPr>
            <xdr:cNvPr id="37908" name="Group Box 20" hidden="1">
              <a:extLst>
                <a:ext uri="{63B3BB69-23CF-44E3-9099-C40C66FF867C}">
                  <a14:compatExt spid="_x0000_s37908"/>
                </a:ext>
                <a:ext uri="{FF2B5EF4-FFF2-40B4-BE49-F238E27FC236}">
                  <a16:creationId xmlns:a16="http://schemas.microsoft.com/office/drawing/2014/main" id="{00000000-0008-0000-1600-0000149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889000</xdr:colOff>
          <xdr:row>37</xdr:row>
          <xdr:rowOff>127000</xdr:rowOff>
        </xdr:from>
        <xdr:to>
          <xdr:col>3</xdr:col>
          <xdr:colOff>889000</xdr:colOff>
          <xdr:row>38</xdr:row>
          <xdr:rowOff>127000</xdr:rowOff>
        </xdr:to>
        <xdr:sp macro="" textlink="">
          <xdr:nvSpPr>
            <xdr:cNvPr id="37909" name="Option Button 21" hidden="1">
              <a:extLst>
                <a:ext uri="{63B3BB69-23CF-44E3-9099-C40C66FF867C}">
                  <a14:compatExt spid="_x0000_s37909"/>
                </a:ext>
                <a:ext uri="{FF2B5EF4-FFF2-40B4-BE49-F238E27FC236}">
                  <a16:creationId xmlns:a16="http://schemas.microsoft.com/office/drawing/2014/main" id="{00000000-0008-0000-1600-00001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WEIGH 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831850</xdr:colOff>
          <xdr:row>37</xdr:row>
          <xdr:rowOff>12700</xdr:rowOff>
        </xdr:from>
        <xdr:to>
          <xdr:col>3</xdr:col>
          <xdr:colOff>1060450</xdr:colOff>
          <xdr:row>38</xdr:row>
          <xdr:rowOff>12700</xdr:rowOff>
        </xdr:to>
        <xdr:sp macro="" textlink="">
          <xdr:nvSpPr>
            <xdr:cNvPr id="37910" name="Option Button 22" hidden="1">
              <a:extLst>
                <a:ext uri="{63B3BB69-23CF-44E3-9099-C40C66FF867C}">
                  <a14:compatExt spid="_x0000_s37910"/>
                </a:ext>
                <a:ext uri="{FF2B5EF4-FFF2-40B4-BE49-F238E27FC236}">
                  <a16:creationId xmlns:a16="http://schemas.microsoft.com/office/drawing/2014/main" id="{00000000-0008-0000-1600-00001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SUPERHEAT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37</xdr:row>
          <xdr:rowOff>12700</xdr:rowOff>
        </xdr:from>
        <xdr:to>
          <xdr:col>5</xdr:col>
          <xdr:colOff>476250</xdr:colOff>
          <xdr:row>38</xdr:row>
          <xdr:rowOff>12700</xdr:rowOff>
        </xdr:to>
        <xdr:sp macro="" textlink="">
          <xdr:nvSpPr>
            <xdr:cNvPr id="37911" name="Option Button 23" hidden="1">
              <a:extLst>
                <a:ext uri="{63B3BB69-23CF-44E3-9099-C40C66FF867C}">
                  <a14:compatExt spid="_x0000_s37911"/>
                </a:ext>
                <a:ext uri="{FF2B5EF4-FFF2-40B4-BE49-F238E27FC236}">
                  <a16:creationId xmlns:a16="http://schemas.microsoft.com/office/drawing/2014/main" id="{00000000-0008-0000-1600-00001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SUBCOOLING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36</xdr:row>
          <xdr:rowOff>266700</xdr:rowOff>
        </xdr:from>
        <xdr:to>
          <xdr:col>14</xdr:col>
          <xdr:colOff>800100</xdr:colOff>
          <xdr:row>39</xdr:row>
          <xdr:rowOff>50800</xdr:rowOff>
        </xdr:to>
        <xdr:sp macro="" textlink="">
          <xdr:nvSpPr>
            <xdr:cNvPr id="37913" name="Group Box 25" hidden="1">
              <a:extLst>
                <a:ext uri="{63B3BB69-23CF-44E3-9099-C40C66FF867C}">
                  <a14:compatExt spid="_x0000_s37913"/>
                </a:ext>
                <a:ext uri="{FF2B5EF4-FFF2-40B4-BE49-F238E27FC236}">
                  <a16:creationId xmlns:a16="http://schemas.microsoft.com/office/drawing/2014/main" id="{00000000-0008-0000-1600-0000199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44</xdr:row>
          <xdr:rowOff>50800</xdr:rowOff>
        </xdr:from>
        <xdr:to>
          <xdr:col>2</xdr:col>
          <xdr:colOff>12700</xdr:colOff>
          <xdr:row>45</xdr:row>
          <xdr:rowOff>139700</xdr:rowOff>
        </xdr:to>
        <xdr:sp macro="" textlink="">
          <xdr:nvSpPr>
            <xdr:cNvPr id="37915" name="OptionButton10" hidden="1">
              <a:extLst>
                <a:ext uri="{63B3BB69-23CF-44E3-9099-C40C66FF867C}">
                  <a14:compatExt spid="_x0000_s37915"/>
                </a:ext>
                <a:ext uri="{FF2B5EF4-FFF2-40B4-BE49-F238E27FC236}">
                  <a16:creationId xmlns:a16="http://schemas.microsoft.com/office/drawing/2014/main" id="{00000000-0008-0000-1600-00001B9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571500</xdr:colOff>
          <xdr:row>42</xdr:row>
          <xdr:rowOff>209550</xdr:rowOff>
        </xdr:from>
        <xdr:to>
          <xdr:col>4</xdr:col>
          <xdr:colOff>241300</xdr:colOff>
          <xdr:row>46</xdr:row>
          <xdr:rowOff>12700</xdr:rowOff>
        </xdr:to>
        <xdr:sp macro="" textlink="">
          <xdr:nvSpPr>
            <xdr:cNvPr id="37917" name="Group Box 29" hidden="1">
              <a:extLst>
                <a:ext uri="{63B3BB69-23CF-44E3-9099-C40C66FF867C}">
                  <a14:compatExt spid="_x0000_s37917"/>
                </a:ext>
                <a:ext uri="{FF2B5EF4-FFF2-40B4-BE49-F238E27FC236}">
                  <a16:creationId xmlns:a16="http://schemas.microsoft.com/office/drawing/2014/main" id="{00000000-0008-0000-1600-00001D9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120</xdr:row>
          <xdr:rowOff>31750</xdr:rowOff>
        </xdr:from>
        <xdr:to>
          <xdr:col>14</xdr:col>
          <xdr:colOff>571500</xdr:colOff>
          <xdr:row>122</xdr:row>
          <xdr:rowOff>177800</xdr:rowOff>
        </xdr:to>
        <xdr:sp macro="" textlink="">
          <xdr:nvSpPr>
            <xdr:cNvPr id="38892" name="CommandButton1" hidden="1">
              <a:extLst>
                <a:ext uri="{63B3BB69-23CF-44E3-9099-C40C66FF867C}">
                  <a14:compatExt spid="_x0000_s38892"/>
                </a:ext>
                <a:ext uri="{FF2B5EF4-FFF2-40B4-BE49-F238E27FC236}">
                  <a16:creationId xmlns:a16="http://schemas.microsoft.com/office/drawing/2014/main" id="{00000000-0008-0000-1600-0000EC9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927100</xdr:colOff>
          <xdr:row>9</xdr:row>
          <xdr:rowOff>114300</xdr:rowOff>
        </xdr:from>
        <xdr:to>
          <xdr:col>3</xdr:col>
          <xdr:colOff>0</xdr:colOff>
          <xdr:row>10</xdr:row>
          <xdr:rowOff>0</xdr:rowOff>
        </xdr:to>
        <xdr:sp macro="" textlink="">
          <xdr:nvSpPr>
            <xdr:cNvPr id="123945" name="Check Box 1065" hidden="1">
              <a:extLst>
                <a:ext uri="{63B3BB69-23CF-44E3-9099-C40C66FF867C}">
                  <a14:compatExt spid="_x0000_s123945"/>
                </a:ext>
                <a:ext uri="{FF2B5EF4-FFF2-40B4-BE49-F238E27FC236}">
                  <a16:creationId xmlns:a16="http://schemas.microsoft.com/office/drawing/2014/main" id="{00000000-0008-0000-1600-000029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9</xdr:row>
          <xdr:rowOff>95250</xdr:rowOff>
        </xdr:from>
        <xdr:to>
          <xdr:col>1</xdr:col>
          <xdr:colOff>438150</xdr:colOff>
          <xdr:row>10</xdr:row>
          <xdr:rowOff>0</xdr:rowOff>
        </xdr:to>
        <xdr:sp macro="" textlink="">
          <xdr:nvSpPr>
            <xdr:cNvPr id="123946" name="Check Box 1066" hidden="1">
              <a:extLst>
                <a:ext uri="{63B3BB69-23CF-44E3-9099-C40C66FF867C}">
                  <a14:compatExt spid="_x0000_s123946"/>
                </a:ext>
                <a:ext uri="{FF2B5EF4-FFF2-40B4-BE49-F238E27FC236}">
                  <a16:creationId xmlns:a16="http://schemas.microsoft.com/office/drawing/2014/main" id="{00000000-0008-0000-1600-00002A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895350</xdr:colOff>
          <xdr:row>9</xdr:row>
          <xdr:rowOff>88900</xdr:rowOff>
        </xdr:from>
        <xdr:to>
          <xdr:col>4</xdr:col>
          <xdr:colOff>571500</xdr:colOff>
          <xdr:row>9</xdr:row>
          <xdr:rowOff>190500</xdr:rowOff>
        </xdr:to>
        <xdr:sp macro="" textlink="">
          <xdr:nvSpPr>
            <xdr:cNvPr id="123947" name="Check Box 1067" hidden="1">
              <a:extLst>
                <a:ext uri="{63B3BB69-23CF-44E3-9099-C40C66FF867C}">
                  <a14:compatExt spid="_x0000_s123947"/>
                </a:ext>
                <a:ext uri="{FF2B5EF4-FFF2-40B4-BE49-F238E27FC236}">
                  <a16:creationId xmlns:a16="http://schemas.microsoft.com/office/drawing/2014/main" id="{00000000-0008-0000-1600-00002B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279400</xdr:colOff>
          <xdr:row>9</xdr:row>
          <xdr:rowOff>88900</xdr:rowOff>
        </xdr:from>
        <xdr:to>
          <xdr:col>3</xdr:col>
          <xdr:colOff>946150</xdr:colOff>
          <xdr:row>10</xdr:row>
          <xdr:rowOff>0</xdr:rowOff>
        </xdr:to>
        <xdr:sp macro="" textlink="">
          <xdr:nvSpPr>
            <xdr:cNvPr id="123948" name="Check Box 1068" hidden="1">
              <a:extLst>
                <a:ext uri="{63B3BB69-23CF-44E3-9099-C40C66FF867C}">
                  <a14:compatExt spid="_x0000_s123948"/>
                </a:ext>
                <a:ext uri="{FF2B5EF4-FFF2-40B4-BE49-F238E27FC236}">
                  <a16:creationId xmlns:a16="http://schemas.microsoft.com/office/drawing/2014/main" id="{00000000-0008-0000-1600-00002C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96</xdr:row>
          <xdr:rowOff>0</xdr:rowOff>
        </xdr:from>
        <xdr:to>
          <xdr:col>4</xdr:col>
          <xdr:colOff>241300</xdr:colOff>
          <xdr:row>100</xdr:row>
          <xdr:rowOff>146050</xdr:rowOff>
        </xdr:to>
        <xdr:sp macro="" textlink="">
          <xdr:nvSpPr>
            <xdr:cNvPr id="123949" name="Group Box 1069" hidden="1">
              <a:extLst>
                <a:ext uri="{63B3BB69-23CF-44E3-9099-C40C66FF867C}">
                  <a14:compatExt spid="_x0000_s123949"/>
                </a:ext>
                <a:ext uri="{FF2B5EF4-FFF2-40B4-BE49-F238E27FC236}">
                  <a16:creationId xmlns:a16="http://schemas.microsoft.com/office/drawing/2014/main" id="{00000000-0008-0000-1600-00002DE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103</xdr:row>
          <xdr:rowOff>0</xdr:rowOff>
        </xdr:from>
        <xdr:to>
          <xdr:col>5</xdr:col>
          <xdr:colOff>50800</xdr:colOff>
          <xdr:row>104</xdr:row>
          <xdr:rowOff>50800</xdr:rowOff>
        </xdr:to>
        <xdr:sp macro="" textlink="">
          <xdr:nvSpPr>
            <xdr:cNvPr id="123950" name="Option Button 1070" hidden="1">
              <a:extLst>
                <a:ext uri="{63B3BB69-23CF-44E3-9099-C40C66FF867C}">
                  <a14:compatExt spid="_x0000_s123950"/>
                </a:ext>
                <a:ext uri="{FF2B5EF4-FFF2-40B4-BE49-F238E27FC236}">
                  <a16:creationId xmlns:a16="http://schemas.microsoft.com/office/drawing/2014/main" id="{00000000-0008-0000-1600-00002E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103</xdr:row>
          <xdr:rowOff>12700</xdr:rowOff>
        </xdr:from>
        <xdr:to>
          <xdr:col>6</xdr:col>
          <xdr:colOff>0</xdr:colOff>
          <xdr:row>104</xdr:row>
          <xdr:rowOff>12700</xdr:rowOff>
        </xdr:to>
        <xdr:sp macro="" textlink="">
          <xdr:nvSpPr>
            <xdr:cNvPr id="123951" name="Option Button 1071" hidden="1">
              <a:extLst>
                <a:ext uri="{63B3BB69-23CF-44E3-9099-C40C66FF867C}">
                  <a14:compatExt spid="_x0000_s123951"/>
                </a:ext>
                <a:ext uri="{FF2B5EF4-FFF2-40B4-BE49-F238E27FC236}">
                  <a16:creationId xmlns:a16="http://schemas.microsoft.com/office/drawing/2014/main" id="{00000000-0008-0000-1600-00002F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102</xdr:row>
          <xdr:rowOff>12700</xdr:rowOff>
        </xdr:from>
        <xdr:to>
          <xdr:col>6</xdr:col>
          <xdr:colOff>533400</xdr:colOff>
          <xdr:row>104</xdr:row>
          <xdr:rowOff>165100</xdr:rowOff>
        </xdr:to>
        <xdr:sp macro="" textlink="">
          <xdr:nvSpPr>
            <xdr:cNvPr id="123952" name="Group Box 1072" hidden="1">
              <a:extLst>
                <a:ext uri="{63B3BB69-23CF-44E3-9099-C40C66FF867C}">
                  <a14:compatExt spid="_x0000_s123952"/>
                </a:ext>
                <a:ext uri="{FF2B5EF4-FFF2-40B4-BE49-F238E27FC236}">
                  <a16:creationId xmlns:a16="http://schemas.microsoft.com/office/drawing/2014/main" id="{00000000-0008-0000-1600-000030E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374650</xdr:colOff>
          <xdr:row>96</xdr:row>
          <xdr:rowOff>76200</xdr:rowOff>
        </xdr:from>
        <xdr:to>
          <xdr:col>4</xdr:col>
          <xdr:colOff>241300</xdr:colOff>
          <xdr:row>100</xdr:row>
          <xdr:rowOff>38100</xdr:rowOff>
        </xdr:to>
        <xdr:sp macro="" textlink="">
          <xdr:nvSpPr>
            <xdr:cNvPr id="123953" name="Group Box 1073" hidden="1">
              <a:extLst>
                <a:ext uri="{63B3BB69-23CF-44E3-9099-C40C66FF867C}">
                  <a14:compatExt spid="_x0000_s123953"/>
                </a:ext>
                <a:ext uri="{FF2B5EF4-FFF2-40B4-BE49-F238E27FC236}">
                  <a16:creationId xmlns:a16="http://schemas.microsoft.com/office/drawing/2014/main" id="{00000000-0008-0000-1600-000031E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106</xdr:row>
          <xdr:rowOff>0</xdr:rowOff>
        </xdr:from>
        <xdr:to>
          <xdr:col>5</xdr:col>
          <xdr:colOff>50800</xdr:colOff>
          <xdr:row>107</xdr:row>
          <xdr:rowOff>50800</xdr:rowOff>
        </xdr:to>
        <xdr:sp macro="" textlink="">
          <xdr:nvSpPr>
            <xdr:cNvPr id="123954" name="Option Button 1074" hidden="1">
              <a:extLst>
                <a:ext uri="{63B3BB69-23CF-44E3-9099-C40C66FF867C}">
                  <a14:compatExt spid="_x0000_s123954"/>
                </a:ext>
                <a:ext uri="{FF2B5EF4-FFF2-40B4-BE49-F238E27FC236}">
                  <a16:creationId xmlns:a16="http://schemas.microsoft.com/office/drawing/2014/main" id="{00000000-0008-0000-1600-000032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106</xdr:row>
          <xdr:rowOff>12700</xdr:rowOff>
        </xdr:from>
        <xdr:to>
          <xdr:col>6</xdr:col>
          <xdr:colOff>0</xdr:colOff>
          <xdr:row>107</xdr:row>
          <xdr:rowOff>12700</xdr:rowOff>
        </xdr:to>
        <xdr:sp macro="" textlink="">
          <xdr:nvSpPr>
            <xdr:cNvPr id="123955" name="Option Button 1075" hidden="1">
              <a:extLst>
                <a:ext uri="{63B3BB69-23CF-44E3-9099-C40C66FF867C}">
                  <a14:compatExt spid="_x0000_s123955"/>
                </a:ext>
                <a:ext uri="{FF2B5EF4-FFF2-40B4-BE49-F238E27FC236}">
                  <a16:creationId xmlns:a16="http://schemas.microsoft.com/office/drawing/2014/main" id="{00000000-0008-0000-1600-000033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105</xdr:row>
          <xdr:rowOff>69850</xdr:rowOff>
        </xdr:from>
        <xdr:to>
          <xdr:col>6</xdr:col>
          <xdr:colOff>323850</xdr:colOff>
          <xdr:row>108</xdr:row>
          <xdr:rowOff>50800</xdr:rowOff>
        </xdr:to>
        <xdr:sp macro="" textlink="">
          <xdr:nvSpPr>
            <xdr:cNvPr id="123956" name="Group Box 1076" hidden="1">
              <a:extLst>
                <a:ext uri="{63B3BB69-23CF-44E3-9099-C40C66FF867C}">
                  <a14:compatExt spid="_x0000_s123956"/>
                </a:ext>
                <a:ext uri="{FF2B5EF4-FFF2-40B4-BE49-F238E27FC236}">
                  <a16:creationId xmlns:a16="http://schemas.microsoft.com/office/drawing/2014/main" id="{00000000-0008-0000-1600-000034E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42</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6572250</xdr:colOff>
          <xdr:row>10</xdr:row>
          <xdr:rowOff>3048000</xdr:rowOff>
        </xdr:from>
        <xdr:to>
          <xdr:col>10</xdr:col>
          <xdr:colOff>685800</xdr:colOff>
          <xdr:row>14</xdr:row>
          <xdr:rowOff>238125</xdr:rowOff>
        </xdr:to>
        <xdr:sp macro="" textlink="">
          <xdr:nvSpPr>
            <xdr:cNvPr id="97680" name="Group Box 400" hidden="1">
              <a:extLst>
                <a:ext uri="{63B3BB69-23CF-44E3-9099-C40C66FF867C}">
                  <a14:compatExt spid="_x0000_s97680"/>
                </a:ext>
                <a:ext uri="{FF2B5EF4-FFF2-40B4-BE49-F238E27FC236}">
                  <a16:creationId xmlns:a16="http://schemas.microsoft.com/office/drawing/2014/main" id="{00000000-0008-0000-0100-000090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US" sz="800" b="0" i="0" u="none" strike="noStrike" baseline="0">
                  <a:solidFill>
                    <a:srgbClr val="000000"/>
                  </a:solidFill>
                  <a:latin typeface="Segoe UI"/>
                  <a:cs typeface="Segoe UI"/>
                </a:rPr>
                <a:t>Group Box 1286</a:t>
              </a:r>
            </a:p>
          </xdr:txBody>
        </xdr:sp>
        <xdr:clientData/>
      </xdr:twoCellAnchor>
    </mc:Choice>
    <mc:Fallback/>
  </mc:AlternateContent>
  <xdr:twoCellAnchor editAs="oneCell">
    <xdr:from>
      <xdr:col>8</xdr:col>
      <xdr:colOff>147320</xdr:colOff>
      <xdr:row>0</xdr:row>
      <xdr:rowOff>142877</xdr:rowOff>
    </xdr:from>
    <xdr:to>
      <xdr:col>13</xdr:col>
      <xdr:colOff>0</xdr:colOff>
      <xdr:row>1</xdr:row>
      <xdr:rowOff>380857</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71995" y="142877"/>
          <a:ext cx="4300855" cy="9333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10</xdr:col>
      <xdr:colOff>992011</xdr:colOff>
      <xdr:row>0</xdr:row>
      <xdr:rowOff>194379</xdr:rowOff>
    </xdr:from>
    <xdr:to>
      <xdr:col>14</xdr:col>
      <xdr:colOff>617008</xdr:colOff>
      <xdr:row>1</xdr:row>
      <xdr:rowOff>197554</xdr:rowOff>
    </xdr:to>
    <xdr:pic>
      <xdr:nvPicPr>
        <xdr:cNvPr id="72007" name="Picture 1">
          <a:extLst>
            <a:ext uri="{FF2B5EF4-FFF2-40B4-BE49-F238E27FC236}">
              <a16:creationId xmlns:a16="http://schemas.microsoft.com/office/drawing/2014/main" id="{00000000-0008-0000-1800-000047190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83511" y="194379"/>
          <a:ext cx="3103386" cy="70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0</xdr:colOff>
          <xdr:row>19</xdr:row>
          <xdr:rowOff>222250</xdr:rowOff>
        </xdr:from>
        <xdr:to>
          <xdr:col>6</xdr:col>
          <xdr:colOff>508000</xdr:colOff>
          <xdr:row>20</xdr:row>
          <xdr:rowOff>95250</xdr:rowOff>
        </xdr:to>
        <xdr:sp macro="" textlink="">
          <xdr:nvSpPr>
            <xdr:cNvPr id="71681" name="OptionButton1" hidden="1">
              <a:extLst>
                <a:ext uri="{63B3BB69-23CF-44E3-9099-C40C66FF867C}">
                  <a14:compatExt spid="_x0000_s71681"/>
                </a:ext>
                <a:ext uri="{FF2B5EF4-FFF2-40B4-BE49-F238E27FC236}">
                  <a16:creationId xmlns:a16="http://schemas.microsoft.com/office/drawing/2014/main" id="{00000000-0008-0000-1700-0000011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190500</xdr:rowOff>
        </xdr:from>
        <xdr:to>
          <xdr:col>10</xdr:col>
          <xdr:colOff>273050</xdr:colOff>
          <xdr:row>20</xdr:row>
          <xdr:rowOff>184150</xdr:rowOff>
        </xdr:to>
        <xdr:sp macro="" textlink="">
          <xdr:nvSpPr>
            <xdr:cNvPr id="71682" name="OptionButton2" hidden="1">
              <a:extLst>
                <a:ext uri="{63B3BB69-23CF-44E3-9099-C40C66FF867C}">
                  <a14:compatExt spid="_x0000_s71682"/>
                </a:ext>
                <a:ext uri="{FF2B5EF4-FFF2-40B4-BE49-F238E27FC236}">
                  <a16:creationId xmlns:a16="http://schemas.microsoft.com/office/drawing/2014/main" id="{00000000-0008-0000-1700-0000021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19</xdr:row>
          <xdr:rowOff>57150</xdr:rowOff>
        </xdr:from>
        <xdr:to>
          <xdr:col>7</xdr:col>
          <xdr:colOff>107950</xdr:colOff>
          <xdr:row>20</xdr:row>
          <xdr:rowOff>336550</xdr:rowOff>
        </xdr:to>
        <xdr:sp macro="" textlink="">
          <xdr:nvSpPr>
            <xdr:cNvPr id="71683" name="Group Box 3" hidden="1">
              <a:extLst>
                <a:ext uri="{63B3BB69-23CF-44E3-9099-C40C66FF867C}">
                  <a14:compatExt spid="_x0000_s71683"/>
                </a:ext>
                <a:ext uri="{FF2B5EF4-FFF2-40B4-BE49-F238E27FC236}">
                  <a16:creationId xmlns:a16="http://schemas.microsoft.com/office/drawing/2014/main" id="{00000000-0008-0000-1700-0000031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21</xdr:row>
          <xdr:rowOff>146050</xdr:rowOff>
        </xdr:from>
        <xdr:to>
          <xdr:col>9</xdr:col>
          <xdr:colOff>50800</xdr:colOff>
          <xdr:row>22</xdr:row>
          <xdr:rowOff>0</xdr:rowOff>
        </xdr:to>
        <xdr:sp macro="" textlink="">
          <xdr:nvSpPr>
            <xdr:cNvPr id="71684" name="Check Box 4" hidden="1">
              <a:extLst>
                <a:ext uri="{63B3BB69-23CF-44E3-9099-C40C66FF867C}">
                  <a14:compatExt spid="_x0000_s71684"/>
                </a:ext>
                <a:ext uri="{FF2B5EF4-FFF2-40B4-BE49-F238E27FC236}">
                  <a16:creationId xmlns:a16="http://schemas.microsoft.com/office/drawing/2014/main" id="{00000000-0008-0000-1700-00000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Existing Ductwork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21</xdr:row>
          <xdr:rowOff>146050</xdr:rowOff>
        </xdr:from>
        <xdr:to>
          <xdr:col>10</xdr:col>
          <xdr:colOff>990600</xdr:colOff>
          <xdr:row>22</xdr:row>
          <xdr:rowOff>0</xdr:rowOff>
        </xdr:to>
        <xdr:sp macro="" textlink="">
          <xdr:nvSpPr>
            <xdr:cNvPr id="71685" name="Check Box 5" hidden="1">
              <a:extLst>
                <a:ext uri="{63B3BB69-23CF-44E3-9099-C40C66FF867C}">
                  <a14:compatExt spid="_x0000_s71685"/>
                </a:ext>
                <a:ext uri="{FF2B5EF4-FFF2-40B4-BE49-F238E27FC236}">
                  <a16:creationId xmlns:a16="http://schemas.microsoft.com/office/drawing/2014/main" id="{00000000-0008-0000-1700-000005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Variable Speed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65</xdr:row>
          <xdr:rowOff>0</xdr:rowOff>
        </xdr:from>
        <xdr:to>
          <xdr:col>4</xdr:col>
          <xdr:colOff>266700</xdr:colOff>
          <xdr:row>69</xdr:row>
          <xdr:rowOff>95250</xdr:rowOff>
        </xdr:to>
        <xdr:sp macro="" textlink="">
          <xdr:nvSpPr>
            <xdr:cNvPr id="71689" name="Group Box 9" hidden="1">
              <a:extLst>
                <a:ext uri="{63B3BB69-23CF-44E3-9099-C40C66FF867C}">
                  <a14:compatExt spid="_x0000_s71689"/>
                </a:ext>
                <a:ext uri="{FF2B5EF4-FFF2-40B4-BE49-F238E27FC236}">
                  <a16:creationId xmlns:a16="http://schemas.microsoft.com/office/drawing/2014/main" id="{00000000-0008-0000-1700-0000091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65</xdr:row>
          <xdr:rowOff>0</xdr:rowOff>
        </xdr:from>
        <xdr:to>
          <xdr:col>5</xdr:col>
          <xdr:colOff>50800</xdr:colOff>
          <xdr:row>66</xdr:row>
          <xdr:rowOff>50800</xdr:rowOff>
        </xdr:to>
        <xdr:sp macro="" textlink="">
          <xdr:nvSpPr>
            <xdr:cNvPr id="71690" name="Option Button 10" hidden="1">
              <a:extLst>
                <a:ext uri="{63B3BB69-23CF-44E3-9099-C40C66FF867C}">
                  <a14:compatExt spid="_x0000_s71690"/>
                </a:ext>
                <a:ext uri="{FF2B5EF4-FFF2-40B4-BE49-F238E27FC236}">
                  <a16:creationId xmlns:a16="http://schemas.microsoft.com/office/drawing/2014/main" id="{00000000-0008-0000-1700-00000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65</xdr:row>
          <xdr:rowOff>0</xdr:rowOff>
        </xdr:from>
        <xdr:to>
          <xdr:col>6</xdr:col>
          <xdr:colOff>0</xdr:colOff>
          <xdr:row>66</xdr:row>
          <xdr:rowOff>0</xdr:rowOff>
        </xdr:to>
        <xdr:sp macro="" textlink="">
          <xdr:nvSpPr>
            <xdr:cNvPr id="71691" name="Option Button 11" hidden="1">
              <a:extLst>
                <a:ext uri="{63B3BB69-23CF-44E3-9099-C40C66FF867C}">
                  <a14:compatExt spid="_x0000_s71691"/>
                </a:ext>
                <a:ext uri="{FF2B5EF4-FFF2-40B4-BE49-F238E27FC236}">
                  <a16:creationId xmlns:a16="http://schemas.microsoft.com/office/drawing/2014/main" id="{00000000-0008-0000-1700-00000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65</xdr:row>
          <xdr:rowOff>0</xdr:rowOff>
        </xdr:from>
        <xdr:to>
          <xdr:col>6</xdr:col>
          <xdr:colOff>533400</xdr:colOff>
          <xdr:row>67</xdr:row>
          <xdr:rowOff>152400</xdr:rowOff>
        </xdr:to>
        <xdr:sp macro="" textlink="">
          <xdr:nvSpPr>
            <xdr:cNvPr id="71692" name="Group Box 12" hidden="1">
              <a:extLst>
                <a:ext uri="{63B3BB69-23CF-44E3-9099-C40C66FF867C}">
                  <a14:compatExt spid="_x0000_s71692"/>
                </a:ext>
                <a:ext uri="{FF2B5EF4-FFF2-40B4-BE49-F238E27FC236}">
                  <a16:creationId xmlns:a16="http://schemas.microsoft.com/office/drawing/2014/main" id="{00000000-0008-0000-1700-00000C1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374650</xdr:colOff>
          <xdr:row>65</xdr:row>
          <xdr:rowOff>0</xdr:rowOff>
        </xdr:from>
        <xdr:to>
          <xdr:col>4</xdr:col>
          <xdr:colOff>266700</xdr:colOff>
          <xdr:row>68</xdr:row>
          <xdr:rowOff>95250</xdr:rowOff>
        </xdr:to>
        <xdr:sp macro="" textlink="">
          <xdr:nvSpPr>
            <xdr:cNvPr id="71693" name="Group Box 13" hidden="1">
              <a:extLst>
                <a:ext uri="{63B3BB69-23CF-44E3-9099-C40C66FF867C}">
                  <a14:compatExt spid="_x0000_s71693"/>
                </a:ext>
                <a:ext uri="{FF2B5EF4-FFF2-40B4-BE49-F238E27FC236}">
                  <a16:creationId xmlns:a16="http://schemas.microsoft.com/office/drawing/2014/main" id="{00000000-0008-0000-1700-00000D1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65</xdr:row>
          <xdr:rowOff>0</xdr:rowOff>
        </xdr:from>
        <xdr:to>
          <xdr:col>5</xdr:col>
          <xdr:colOff>50800</xdr:colOff>
          <xdr:row>66</xdr:row>
          <xdr:rowOff>50800</xdr:rowOff>
        </xdr:to>
        <xdr:sp macro="" textlink="">
          <xdr:nvSpPr>
            <xdr:cNvPr id="71694" name="Option Button 14" hidden="1">
              <a:extLst>
                <a:ext uri="{63B3BB69-23CF-44E3-9099-C40C66FF867C}">
                  <a14:compatExt spid="_x0000_s71694"/>
                </a:ext>
                <a:ext uri="{FF2B5EF4-FFF2-40B4-BE49-F238E27FC236}">
                  <a16:creationId xmlns:a16="http://schemas.microsoft.com/office/drawing/2014/main" id="{00000000-0008-0000-1700-00000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65</xdr:row>
          <xdr:rowOff>0</xdr:rowOff>
        </xdr:from>
        <xdr:to>
          <xdr:col>6</xdr:col>
          <xdr:colOff>0</xdr:colOff>
          <xdr:row>66</xdr:row>
          <xdr:rowOff>0</xdr:rowOff>
        </xdr:to>
        <xdr:sp macro="" textlink="">
          <xdr:nvSpPr>
            <xdr:cNvPr id="71695" name="Option Button 15" hidden="1">
              <a:extLst>
                <a:ext uri="{63B3BB69-23CF-44E3-9099-C40C66FF867C}">
                  <a14:compatExt spid="_x0000_s71695"/>
                </a:ext>
                <a:ext uri="{FF2B5EF4-FFF2-40B4-BE49-F238E27FC236}">
                  <a16:creationId xmlns:a16="http://schemas.microsoft.com/office/drawing/2014/main" id="{00000000-0008-0000-1700-00000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65</xdr:row>
          <xdr:rowOff>0</xdr:rowOff>
        </xdr:from>
        <xdr:to>
          <xdr:col>6</xdr:col>
          <xdr:colOff>323850</xdr:colOff>
          <xdr:row>67</xdr:row>
          <xdr:rowOff>165100</xdr:rowOff>
        </xdr:to>
        <xdr:sp macro="" textlink="">
          <xdr:nvSpPr>
            <xdr:cNvPr id="71696" name="Group Box 16" hidden="1">
              <a:extLst>
                <a:ext uri="{63B3BB69-23CF-44E3-9099-C40C66FF867C}">
                  <a14:compatExt spid="_x0000_s71696"/>
                </a:ext>
                <a:ext uri="{FF2B5EF4-FFF2-40B4-BE49-F238E27FC236}">
                  <a16:creationId xmlns:a16="http://schemas.microsoft.com/office/drawing/2014/main" id="{00000000-0008-0000-1700-0000101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70</xdr:row>
          <xdr:rowOff>0</xdr:rowOff>
        </xdr:from>
        <xdr:to>
          <xdr:col>2</xdr:col>
          <xdr:colOff>31750</xdr:colOff>
          <xdr:row>71</xdr:row>
          <xdr:rowOff>69850</xdr:rowOff>
        </xdr:to>
        <xdr:sp macro="" textlink="">
          <xdr:nvSpPr>
            <xdr:cNvPr id="71698" name="OptionButton7" hidden="1">
              <a:extLst>
                <a:ext uri="{63B3BB69-23CF-44E3-9099-C40C66FF867C}">
                  <a14:compatExt spid="_x0000_s71698"/>
                </a:ext>
                <a:ext uri="{FF2B5EF4-FFF2-40B4-BE49-F238E27FC236}">
                  <a16:creationId xmlns:a16="http://schemas.microsoft.com/office/drawing/2014/main" id="{00000000-0008-0000-1700-0000121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317500</xdr:colOff>
          <xdr:row>68</xdr:row>
          <xdr:rowOff>209550</xdr:rowOff>
        </xdr:from>
        <xdr:to>
          <xdr:col>4</xdr:col>
          <xdr:colOff>266700</xdr:colOff>
          <xdr:row>72</xdr:row>
          <xdr:rowOff>12700</xdr:rowOff>
        </xdr:to>
        <xdr:sp macro="" textlink="">
          <xdr:nvSpPr>
            <xdr:cNvPr id="71700" name="Group Box 20" hidden="1">
              <a:extLst>
                <a:ext uri="{63B3BB69-23CF-44E3-9099-C40C66FF867C}">
                  <a14:compatExt spid="_x0000_s71700"/>
                </a:ext>
                <a:ext uri="{FF2B5EF4-FFF2-40B4-BE49-F238E27FC236}">
                  <a16:creationId xmlns:a16="http://schemas.microsoft.com/office/drawing/2014/main" id="{00000000-0008-0000-1700-0000141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889000</xdr:colOff>
          <xdr:row>37</xdr:row>
          <xdr:rowOff>127000</xdr:rowOff>
        </xdr:from>
        <xdr:to>
          <xdr:col>3</xdr:col>
          <xdr:colOff>889000</xdr:colOff>
          <xdr:row>38</xdr:row>
          <xdr:rowOff>127000</xdr:rowOff>
        </xdr:to>
        <xdr:sp macro="" textlink="">
          <xdr:nvSpPr>
            <xdr:cNvPr id="71701" name="Option Button 21" hidden="1">
              <a:extLst>
                <a:ext uri="{63B3BB69-23CF-44E3-9099-C40C66FF867C}">
                  <a14:compatExt spid="_x0000_s71701"/>
                </a:ext>
                <a:ext uri="{FF2B5EF4-FFF2-40B4-BE49-F238E27FC236}">
                  <a16:creationId xmlns:a16="http://schemas.microsoft.com/office/drawing/2014/main" id="{00000000-0008-0000-1700-000015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WEIGH 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1060450</xdr:colOff>
          <xdr:row>37</xdr:row>
          <xdr:rowOff>69850</xdr:rowOff>
        </xdr:from>
        <xdr:to>
          <xdr:col>4</xdr:col>
          <xdr:colOff>222250</xdr:colOff>
          <xdr:row>38</xdr:row>
          <xdr:rowOff>69850</xdr:rowOff>
        </xdr:to>
        <xdr:sp macro="" textlink="">
          <xdr:nvSpPr>
            <xdr:cNvPr id="71702" name="Option Button 22" hidden="1">
              <a:extLst>
                <a:ext uri="{63B3BB69-23CF-44E3-9099-C40C66FF867C}">
                  <a14:compatExt spid="_x0000_s71702"/>
                </a:ext>
                <a:ext uri="{FF2B5EF4-FFF2-40B4-BE49-F238E27FC236}">
                  <a16:creationId xmlns:a16="http://schemas.microsoft.com/office/drawing/2014/main" id="{00000000-0008-0000-1700-000016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SUPERHEAT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37</xdr:row>
          <xdr:rowOff>69850</xdr:rowOff>
        </xdr:from>
        <xdr:to>
          <xdr:col>5</xdr:col>
          <xdr:colOff>622300</xdr:colOff>
          <xdr:row>38</xdr:row>
          <xdr:rowOff>69850</xdr:rowOff>
        </xdr:to>
        <xdr:sp macro="" textlink="">
          <xdr:nvSpPr>
            <xdr:cNvPr id="71703" name="Option Button 23" hidden="1">
              <a:extLst>
                <a:ext uri="{63B3BB69-23CF-44E3-9099-C40C66FF867C}">
                  <a14:compatExt spid="_x0000_s71703"/>
                </a:ext>
                <a:ext uri="{FF2B5EF4-FFF2-40B4-BE49-F238E27FC236}">
                  <a16:creationId xmlns:a16="http://schemas.microsoft.com/office/drawing/2014/main" id="{00000000-0008-0000-1700-00001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SUBCOOLING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36</xdr:row>
          <xdr:rowOff>266700</xdr:rowOff>
        </xdr:from>
        <xdr:to>
          <xdr:col>14</xdr:col>
          <xdr:colOff>889000</xdr:colOff>
          <xdr:row>39</xdr:row>
          <xdr:rowOff>50800</xdr:rowOff>
        </xdr:to>
        <xdr:sp macro="" textlink="">
          <xdr:nvSpPr>
            <xdr:cNvPr id="71705" name="Group Box 25" hidden="1">
              <a:extLst>
                <a:ext uri="{63B3BB69-23CF-44E3-9099-C40C66FF867C}">
                  <a14:compatExt spid="_x0000_s71705"/>
                </a:ext>
                <a:ext uri="{FF2B5EF4-FFF2-40B4-BE49-F238E27FC236}">
                  <a16:creationId xmlns:a16="http://schemas.microsoft.com/office/drawing/2014/main" id="{00000000-0008-0000-1700-0000191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44</xdr:row>
          <xdr:rowOff>19050</xdr:rowOff>
        </xdr:from>
        <xdr:to>
          <xdr:col>2</xdr:col>
          <xdr:colOff>57150</xdr:colOff>
          <xdr:row>45</xdr:row>
          <xdr:rowOff>88900</xdr:rowOff>
        </xdr:to>
        <xdr:sp macro="" textlink="">
          <xdr:nvSpPr>
            <xdr:cNvPr id="71707" name="OptionButton10" hidden="1">
              <a:extLst>
                <a:ext uri="{63B3BB69-23CF-44E3-9099-C40C66FF867C}">
                  <a14:compatExt spid="_x0000_s71707"/>
                </a:ext>
                <a:ext uri="{FF2B5EF4-FFF2-40B4-BE49-F238E27FC236}">
                  <a16:creationId xmlns:a16="http://schemas.microsoft.com/office/drawing/2014/main" id="{00000000-0008-0000-1700-00001B1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571500</xdr:colOff>
          <xdr:row>42</xdr:row>
          <xdr:rowOff>209550</xdr:rowOff>
        </xdr:from>
        <xdr:to>
          <xdr:col>4</xdr:col>
          <xdr:colOff>266700</xdr:colOff>
          <xdr:row>46</xdr:row>
          <xdr:rowOff>12700</xdr:rowOff>
        </xdr:to>
        <xdr:sp macro="" textlink="">
          <xdr:nvSpPr>
            <xdr:cNvPr id="71709" name="Group Box 29" hidden="1">
              <a:extLst>
                <a:ext uri="{63B3BB69-23CF-44E3-9099-C40C66FF867C}">
                  <a14:compatExt spid="_x0000_s71709"/>
                </a:ext>
                <a:ext uri="{FF2B5EF4-FFF2-40B4-BE49-F238E27FC236}">
                  <a16:creationId xmlns:a16="http://schemas.microsoft.com/office/drawing/2014/main" id="{00000000-0008-0000-1700-00001D1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120</xdr:row>
          <xdr:rowOff>0</xdr:rowOff>
        </xdr:from>
        <xdr:to>
          <xdr:col>14</xdr:col>
          <xdr:colOff>463550</xdr:colOff>
          <xdr:row>122</xdr:row>
          <xdr:rowOff>82550</xdr:rowOff>
        </xdr:to>
        <xdr:sp macro="" textlink="">
          <xdr:nvSpPr>
            <xdr:cNvPr id="71719" name="CommandButton1" hidden="1">
              <a:extLst>
                <a:ext uri="{63B3BB69-23CF-44E3-9099-C40C66FF867C}">
                  <a14:compatExt spid="_x0000_s71719"/>
                </a:ext>
                <a:ext uri="{FF2B5EF4-FFF2-40B4-BE49-F238E27FC236}">
                  <a16:creationId xmlns:a16="http://schemas.microsoft.com/office/drawing/2014/main" id="{00000000-0008-0000-1700-0000271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927100</xdr:colOff>
          <xdr:row>9</xdr:row>
          <xdr:rowOff>114300</xdr:rowOff>
        </xdr:from>
        <xdr:to>
          <xdr:col>3</xdr:col>
          <xdr:colOff>0</xdr:colOff>
          <xdr:row>10</xdr:row>
          <xdr:rowOff>0</xdr:rowOff>
        </xdr:to>
        <xdr:sp macro="" textlink="">
          <xdr:nvSpPr>
            <xdr:cNvPr id="71780" name="Check Box 100" hidden="1">
              <a:extLst>
                <a:ext uri="{63B3BB69-23CF-44E3-9099-C40C66FF867C}">
                  <a14:compatExt spid="_x0000_s71780"/>
                </a:ext>
                <a:ext uri="{FF2B5EF4-FFF2-40B4-BE49-F238E27FC236}">
                  <a16:creationId xmlns:a16="http://schemas.microsoft.com/office/drawing/2014/main" id="{00000000-0008-0000-1700-00006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1193800</xdr:colOff>
          <xdr:row>9</xdr:row>
          <xdr:rowOff>95250</xdr:rowOff>
        </xdr:from>
        <xdr:to>
          <xdr:col>2</xdr:col>
          <xdr:colOff>0</xdr:colOff>
          <xdr:row>10</xdr:row>
          <xdr:rowOff>0</xdr:rowOff>
        </xdr:to>
        <xdr:sp macro="" textlink="">
          <xdr:nvSpPr>
            <xdr:cNvPr id="71781" name="Check Box 101" hidden="1">
              <a:extLst>
                <a:ext uri="{63B3BB69-23CF-44E3-9099-C40C66FF867C}">
                  <a14:compatExt spid="_x0000_s71781"/>
                </a:ext>
                <a:ext uri="{FF2B5EF4-FFF2-40B4-BE49-F238E27FC236}">
                  <a16:creationId xmlns:a16="http://schemas.microsoft.com/office/drawing/2014/main" id="{00000000-0008-0000-1700-000065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965200</xdr:colOff>
          <xdr:row>9</xdr:row>
          <xdr:rowOff>95250</xdr:rowOff>
        </xdr:from>
        <xdr:to>
          <xdr:col>5</xdr:col>
          <xdr:colOff>12700</xdr:colOff>
          <xdr:row>9</xdr:row>
          <xdr:rowOff>184150</xdr:rowOff>
        </xdr:to>
        <xdr:sp macro="" textlink="">
          <xdr:nvSpPr>
            <xdr:cNvPr id="71782" name="Check Box 102" hidden="1">
              <a:extLst>
                <a:ext uri="{63B3BB69-23CF-44E3-9099-C40C66FF867C}">
                  <a14:compatExt spid="_x0000_s71782"/>
                </a:ext>
                <a:ext uri="{FF2B5EF4-FFF2-40B4-BE49-F238E27FC236}">
                  <a16:creationId xmlns:a16="http://schemas.microsoft.com/office/drawing/2014/main" id="{00000000-0008-0000-1700-000066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9</xdr:row>
          <xdr:rowOff>114300</xdr:rowOff>
        </xdr:from>
        <xdr:to>
          <xdr:col>3</xdr:col>
          <xdr:colOff>812800</xdr:colOff>
          <xdr:row>9</xdr:row>
          <xdr:rowOff>203200</xdr:rowOff>
        </xdr:to>
        <xdr:sp macro="" textlink="">
          <xdr:nvSpPr>
            <xdr:cNvPr id="71783" name="Check Box 103" hidden="1">
              <a:extLst>
                <a:ext uri="{63B3BB69-23CF-44E3-9099-C40C66FF867C}">
                  <a14:compatExt spid="_x0000_s71783"/>
                </a:ext>
                <a:ext uri="{FF2B5EF4-FFF2-40B4-BE49-F238E27FC236}">
                  <a16:creationId xmlns:a16="http://schemas.microsoft.com/office/drawing/2014/main" id="{00000000-0008-0000-1700-00006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96</xdr:row>
          <xdr:rowOff>0</xdr:rowOff>
        </xdr:from>
        <xdr:to>
          <xdr:col>4</xdr:col>
          <xdr:colOff>266700</xdr:colOff>
          <xdr:row>100</xdr:row>
          <xdr:rowOff>146050</xdr:rowOff>
        </xdr:to>
        <xdr:sp macro="" textlink="">
          <xdr:nvSpPr>
            <xdr:cNvPr id="71784" name="Group Box 104" hidden="1">
              <a:extLst>
                <a:ext uri="{63B3BB69-23CF-44E3-9099-C40C66FF867C}">
                  <a14:compatExt spid="_x0000_s71784"/>
                </a:ext>
                <a:ext uri="{FF2B5EF4-FFF2-40B4-BE49-F238E27FC236}">
                  <a16:creationId xmlns:a16="http://schemas.microsoft.com/office/drawing/2014/main" id="{00000000-0008-0000-1700-0000681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103</xdr:row>
          <xdr:rowOff>0</xdr:rowOff>
        </xdr:from>
        <xdr:to>
          <xdr:col>5</xdr:col>
          <xdr:colOff>50800</xdr:colOff>
          <xdr:row>104</xdr:row>
          <xdr:rowOff>50800</xdr:rowOff>
        </xdr:to>
        <xdr:sp macro="" textlink="">
          <xdr:nvSpPr>
            <xdr:cNvPr id="71785" name="Option Button 105" hidden="1">
              <a:extLst>
                <a:ext uri="{63B3BB69-23CF-44E3-9099-C40C66FF867C}">
                  <a14:compatExt spid="_x0000_s71785"/>
                </a:ext>
                <a:ext uri="{FF2B5EF4-FFF2-40B4-BE49-F238E27FC236}">
                  <a16:creationId xmlns:a16="http://schemas.microsoft.com/office/drawing/2014/main" id="{00000000-0008-0000-1700-00006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103</xdr:row>
          <xdr:rowOff>12700</xdr:rowOff>
        </xdr:from>
        <xdr:to>
          <xdr:col>6</xdr:col>
          <xdr:colOff>0</xdr:colOff>
          <xdr:row>104</xdr:row>
          <xdr:rowOff>12700</xdr:rowOff>
        </xdr:to>
        <xdr:sp macro="" textlink="">
          <xdr:nvSpPr>
            <xdr:cNvPr id="71786" name="Option Button 106" hidden="1">
              <a:extLst>
                <a:ext uri="{63B3BB69-23CF-44E3-9099-C40C66FF867C}">
                  <a14:compatExt spid="_x0000_s71786"/>
                </a:ext>
                <a:ext uri="{FF2B5EF4-FFF2-40B4-BE49-F238E27FC236}">
                  <a16:creationId xmlns:a16="http://schemas.microsoft.com/office/drawing/2014/main" id="{00000000-0008-0000-1700-00006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102</xdr:row>
          <xdr:rowOff>12700</xdr:rowOff>
        </xdr:from>
        <xdr:to>
          <xdr:col>6</xdr:col>
          <xdr:colOff>533400</xdr:colOff>
          <xdr:row>104</xdr:row>
          <xdr:rowOff>165100</xdr:rowOff>
        </xdr:to>
        <xdr:sp macro="" textlink="">
          <xdr:nvSpPr>
            <xdr:cNvPr id="71787" name="Group Box 107" hidden="1">
              <a:extLst>
                <a:ext uri="{63B3BB69-23CF-44E3-9099-C40C66FF867C}">
                  <a14:compatExt spid="_x0000_s71787"/>
                </a:ext>
                <a:ext uri="{FF2B5EF4-FFF2-40B4-BE49-F238E27FC236}">
                  <a16:creationId xmlns:a16="http://schemas.microsoft.com/office/drawing/2014/main" id="{00000000-0008-0000-1700-00006B1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374650</xdr:colOff>
          <xdr:row>96</xdr:row>
          <xdr:rowOff>76200</xdr:rowOff>
        </xdr:from>
        <xdr:to>
          <xdr:col>4</xdr:col>
          <xdr:colOff>266700</xdr:colOff>
          <xdr:row>100</xdr:row>
          <xdr:rowOff>38100</xdr:rowOff>
        </xdr:to>
        <xdr:sp macro="" textlink="">
          <xdr:nvSpPr>
            <xdr:cNvPr id="71788" name="Group Box 108" hidden="1">
              <a:extLst>
                <a:ext uri="{63B3BB69-23CF-44E3-9099-C40C66FF867C}">
                  <a14:compatExt spid="_x0000_s71788"/>
                </a:ext>
                <a:ext uri="{FF2B5EF4-FFF2-40B4-BE49-F238E27FC236}">
                  <a16:creationId xmlns:a16="http://schemas.microsoft.com/office/drawing/2014/main" id="{00000000-0008-0000-1700-00006C1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106</xdr:row>
          <xdr:rowOff>0</xdr:rowOff>
        </xdr:from>
        <xdr:to>
          <xdr:col>5</xdr:col>
          <xdr:colOff>50800</xdr:colOff>
          <xdr:row>107</xdr:row>
          <xdr:rowOff>50800</xdr:rowOff>
        </xdr:to>
        <xdr:sp macro="" textlink="">
          <xdr:nvSpPr>
            <xdr:cNvPr id="71789" name="Option Button 109" hidden="1">
              <a:extLst>
                <a:ext uri="{63B3BB69-23CF-44E3-9099-C40C66FF867C}">
                  <a14:compatExt spid="_x0000_s71789"/>
                </a:ext>
                <a:ext uri="{FF2B5EF4-FFF2-40B4-BE49-F238E27FC236}">
                  <a16:creationId xmlns:a16="http://schemas.microsoft.com/office/drawing/2014/main" id="{00000000-0008-0000-1700-00006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106</xdr:row>
          <xdr:rowOff>12700</xdr:rowOff>
        </xdr:from>
        <xdr:to>
          <xdr:col>6</xdr:col>
          <xdr:colOff>0</xdr:colOff>
          <xdr:row>107</xdr:row>
          <xdr:rowOff>12700</xdr:rowOff>
        </xdr:to>
        <xdr:sp macro="" textlink="">
          <xdr:nvSpPr>
            <xdr:cNvPr id="71790" name="Option Button 110" hidden="1">
              <a:extLst>
                <a:ext uri="{63B3BB69-23CF-44E3-9099-C40C66FF867C}">
                  <a14:compatExt spid="_x0000_s71790"/>
                </a:ext>
                <a:ext uri="{FF2B5EF4-FFF2-40B4-BE49-F238E27FC236}">
                  <a16:creationId xmlns:a16="http://schemas.microsoft.com/office/drawing/2014/main" id="{00000000-0008-0000-1700-00006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105</xdr:row>
          <xdr:rowOff>69850</xdr:rowOff>
        </xdr:from>
        <xdr:to>
          <xdr:col>6</xdr:col>
          <xdr:colOff>323850</xdr:colOff>
          <xdr:row>108</xdr:row>
          <xdr:rowOff>50800</xdr:rowOff>
        </xdr:to>
        <xdr:sp macro="" textlink="">
          <xdr:nvSpPr>
            <xdr:cNvPr id="71791" name="Group Box 111" hidden="1">
              <a:extLst>
                <a:ext uri="{63B3BB69-23CF-44E3-9099-C40C66FF867C}">
                  <a14:compatExt spid="_x0000_s71791"/>
                </a:ext>
                <a:ext uri="{FF2B5EF4-FFF2-40B4-BE49-F238E27FC236}">
                  <a16:creationId xmlns:a16="http://schemas.microsoft.com/office/drawing/2014/main" id="{00000000-0008-0000-1700-00006F1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42</a:t>
              </a:r>
            </a:p>
          </xdr:txBody>
        </xdr:sp>
        <xdr:clientData/>
      </xdr:twoCellAnchor>
    </mc:Choice>
    <mc:Fallback/>
  </mc:AlternateContent>
</xdr:wsDr>
</file>

<file path=xl/drawings/drawing21.xml><?xml version="1.0" encoding="utf-8"?>
<xdr:wsDr xmlns:xdr="http://schemas.openxmlformats.org/drawingml/2006/spreadsheetDrawing" xmlns:a="http://schemas.openxmlformats.org/drawingml/2006/main">
  <xdr:twoCellAnchor editAs="oneCell">
    <xdr:from>
      <xdr:col>10</xdr:col>
      <xdr:colOff>923926</xdr:colOff>
      <xdr:row>0</xdr:row>
      <xdr:rowOff>388055</xdr:rowOff>
    </xdr:from>
    <xdr:to>
      <xdr:col>14</xdr:col>
      <xdr:colOff>545748</xdr:colOff>
      <xdr:row>1</xdr:row>
      <xdr:rowOff>391230</xdr:rowOff>
    </xdr:to>
    <xdr:pic>
      <xdr:nvPicPr>
        <xdr:cNvPr id="70984" name="Picture 1">
          <a:extLst>
            <a:ext uri="{FF2B5EF4-FFF2-40B4-BE49-F238E27FC236}">
              <a16:creationId xmlns:a16="http://schemas.microsoft.com/office/drawing/2014/main" id="{00000000-0008-0000-1900-000048150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73093" y="388055"/>
          <a:ext cx="3100211"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69850</xdr:colOff>
          <xdr:row>19</xdr:row>
          <xdr:rowOff>228600</xdr:rowOff>
        </xdr:from>
        <xdr:to>
          <xdr:col>6</xdr:col>
          <xdr:colOff>514350</xdr:colOff>
          <xdr:row>20</xdr:row>
          <xdr:rowOff>165100</xdr:rowOff>
        </xdr:to>
        <xdr:sp macro="" textlink="">
          <xdr:nvSpPr>
            <xdr:cNvPr id="70657" name="OptionButton1" hidden="1">
              <a:extLst>
                <a:ext uri="{63B3BB69-23CF-44E3-9099-C40C66FF867C}">
                  <a14:compatExt spid="_x0000_s70657"/>
                </a:ext>
                <a:ext uri="{FF2B5EF4-FFF2-40B4-BE49-F238E27FC236}">
                  <a16:creationId xmlns:a16="http://schemas.microsoft.com/office/drawing/2014/main" id="{00000000-0008-0000-1800-0000011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222250</xdr:rowOff>
        </xdr:from>
        <xdr:to>
          <xdr:col>10</xdr:col>
          <xdr:colOff>266700</xdr:colOff>
          <xdr:row>20</xdr:row>
          <xdr:rowOff>215900</xdr:rowOff>
        </xdr:to>
        <xdr:sp macro="" textlink="">
          <xdr:nvSpPr>
            <xdr:cNvPr id="70658" name="OptionButton2" hidden="1">
              <a:extLst>
                <a:ext uri="{63B3BB69-23CF-44E3-9099-C40C66FF867C}">
                  <a14:compatExt spid="_x0000_s70658"/>
                </a:ext>
                <a:ext uri="{FF2B5EF4-FFF2-40B4-BE49-F238E27FC236}">
                  <a16:creationId xmlns:a16="http://schemas.microsoft.com/office/drawing/2014/main" id="{00000000-0008-0000-1800-0000021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19</xdr:row>
          <xdr:rowOff>57150</xdr:rowOff>
        </xdr:from>
        <xdr:to>
          <xdr:col>7</xdr:col>
          <xdr:colOff>146050</xdr:colOff>
          <xdr:row>20</xdr:row>
          <xdr:rowOff>336550</xdr:rowOff>
        </xdr:to>
        <xdr:sp macro="" textlink="">
          <xdr:nvSpPr>
            <xdr:cNvPr id="70659" name="Group Box 3" hidden="1">
              <a:extLst>
                <a:ext uri="{63B3BB69-23CF-44E3-9099-C40C66FF867C}">
                  <a14:compatExt spid="_x0000_s70659"/>
                </a:ext>
                <a:ext uri="{FF2B5EF4-FFF2-40B4-BE49-F238E27FC236}">
                  <a16:creationId xmlns:a16="http://schemas.microsoft.com/office/drawing/2014/main" id="{00000000-0008-0000-1800-0000031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21</xdr:row>
          <xdr:rowOff>165100</xdr:rowOff>
        </xdr:from>
        <xdr:to>
          <xdr:col>9</xdr:col>
          <xdr:colOff>50800</xdr:colOff>
          <xdr:row>22</xdr:row>
          <xdr:rowOff>0</xdr:rowOff>
        </xdr:to>
        <xdr:sp macro="" textlink="">
          <xdr:nvSpPr>
            <xdr:cNvPr id="70660" name="Check Box 4" hidden="1">
              <a:extLst>
                <a:ext uri="{63B3BB69-23CF-44E3-9099-C40C66FF867C}">
                  <a14:compatExt spid="_x0000_s70660"/>
                </a:ext>
                <a:ext uri="{FF2B5EF4-FFF2-40B4-BE49-F238E27FC236}">
                  <a16:creationId xmlns:a16="http://schemas.microsoft.com/office/drawing/2014/main" id="{00000000-0008-0000-1800-000004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Existing Ductwork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21</xdr:row>
          <xdr:rowOff>165100</xdr:rowOff>
        </xdr:from>
        <xdr:to>
          <xdr:col>10</xdr:col>
          <xdr:colOff>990600</xdr:colOff>
          <xdr:row>22</xdr:row>
          <xdr:rowOff>0</xdr:rowOff>
        </xdr:to>
        <xdr:sp macro="" textlink="">
          <xdr:nvSpPr>
            <xdr:cNvPr id="70661" name="Check Box 5" hidden="1">
              <a:extLst>
                <a:ext uri="{63B3BB69-23CF-44E3-9099-C40C66FF867C}">
                  <a14:compatExt spid="_x0000_s70661"/>
                </a:ext>
                <a:ext uri="{FF2B5EF4-FFF2-40B4-BE49-F238E27FC236}">
                  <a16:creationId xmlns:a16="http://schemas.microsoft.com/office/drawing/2014/main" id="{00000000-0008-0000-1800-00000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Variable Speed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65</xdr:row>
          <xdr:rowOff>0</xdr:rowOff>
        </xdr:from>
        <xdr:to>
          <xdr:col>4</xdr:col>
          <xdr:colOff>304800</xdr:colOff>
          <xdr:row>69</xdr:row>
          <xdr:rowOff>95250</xdr:rowOff>
        </xdr:to>
        <xdr:sp macro="" textlink="">
          <xdr:nvSpPr>
            <xdr:cNvPr id="70665" name="Group Box 9" hidden="1">
              <a:extLst>
                <a:ext uri="{63B3BB69-23CF-44E3-9099-C40C66FF867C}">
                  <a14:compatExt spid="_x0000_s70665"/>
                </a:ext>
                <a:ext uri="{FF2B5EF4-FFF2-40B4-BE49-F238E27FC236}">
                  <a16:creationId xmlns:a16="http://schemas.microsoft.com/office/drawing/2014/main" id="{00000000-0008-0000-1800-0000091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65</xdr:row>
          <xdr:rowOff>0</xdr:rowOff>
        </xdr:from>
        <xdr:to>
          <xdr:col>5</xdr:col>
          <xdr:colOff>50800</xdr:colOff>
          <xdr:row>66</xdr:row>
          <xdr:rowOff>50800</xdr:rowOff>
        </xdr:to>
        <xdr:sp macro="" textlink="">
          <xdr:nvSpPr>
            <xdr:cNvPr id="70666" name="Option Button 10" hidden="1">
              <a:extLst>
                <a:ext uri="{63B3BB69-23CF-44E3-9099-C40C66FF867C}">
                  <a14:compatExt spid="_x0000_s70666"/>
                </a:ext>
                <a:ext uri="{FF2B5EF4-FFF2-40B4-BE49-F238E27FC236}">
                  <a16:creationId xmlns:a16="http://schemas.microsoft.com/office/drawing/2014/main" id="{00000000-0008-0000-1800-00000A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65</xdr:row>
          <xdr:rowOff>0</xdr:rowOff>
        </xdr:from>
        <xdr:to>
          <xdr:col>6</xdr:col>
          <xdr:colOff>0</xdr:colOff>
          <xdr:row>66</xdr:row>
          <xdr:rowOff>0</xdr:rowOff>
        </xdr:to>
        <xdr:sp macro="" textlink="">
          <xdr:nvSpPr>
            <xdr:cNvPr id="70667" name="Option Button 11" hidden="1">
              <a:extLst>
                <a:ext uri="{63B3BB69-23CF-44E3-9099-C40C66FF867C}">
                  <a14:compatExt spid="_x0000_s70667"/>
                </a:ext>
                <a:ext uri="{FF2B5EF4-FFF2-40B4-BE49-F238E27FC236}">
                  <a16:creationId xmlns:a16="http://schemas.microsoft.com/office/drawing/2014/main" id="{00000000-0008-0000-1800-00000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65</xdr:row>
          <xdr:rowOff>0</xdr:rowOff>
        </xdr:from>
        <xdr:to>
          <xdr:col>6</xdr:col>
          <xdr:colOff>533400</xdr:colOff>
          <xdr:row>67</xdr:row>
          <xdr:rowOff>152400</xdr:rowOff>
        </xdr:to>
        <xdr:sp macro="" textlink="">
          <xdr:nvSpPr>
            <xdr:cNvPr id="70668" name="Group Box 12" hidden="1">
              <a:extLst>
                <a:ext uri="{63B3BB69-23CF-44E3-9099-C40C66FF867C}">
                  <a14:compatExt spid="_x0000_s70668"/>
                </a:ext>
                <a:ext uri="{FF2B5EF4-FFF2-40B4-BE49-F238E27FC236}">
                  <a16:creationId xmlns:a16="http://schemas.microsoft.com/office/drawing/2014/main" id="{00000000-0008-0000-1800-00000C1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374650</xdr:colOff>
          <xdr:row>65</xdr:row>
          <xdr:rowOff>0</xdr:rowOff>
        </xdr:from>
        <xdr:to>
          <xdr:col>4</xdr:col>
          <xdr:colOff>304800</xdr:colOff>
          <xdr:row>68</xdr:row>
          <xdr:rowOff>95250</xdr:rowOff>
        </xdr:to>
        <xdr:sp macro="" textlink="">
          <xdr:nvSpPr>
            <xdr:cNvPr id="70669" name="Group Box 13" hidden="1">
              <a:extLst>
                <a:ext uri="{63B3BB69-23CF-44E3-9099-C40C66FF867C}">
                  <a14:compatExt spid="_x0000_s70669"/>
                </a:ext>
                <a:ext uri="{FF2B5EF4-FFF2-40B4-BE49-F238E27FC236}">
                  <a16:creationId xmlns:a16="http://schemas.microsoft.com/office/drawing/2014/main" id="{00000000-0008-0000-1800-00000D1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65</xdr:row>
          <xdr:rowOff>0</xdr:rowOff>
        </xdr:from>
        <xdr:to>
          <xdr:col>5</xdr:col>
          <xdr:colOff>50800</xdr:colOff>
          <xdr:row>66</xdr:row>
          <xdr:rowOff>50800</xdr:rowOff>
        </xdr:to>
        <xdr:sp macro="" textlink="">
          <xdr:nvSpPr>
            <xdr:cNvPr id="70670" name="Option Button 14" hidden="1">
              <a:extLst>
                <a:ext uri="{63B3BB69-23CF-44E3-9099-C40C66FF867C}">
                  <a14:compatExt spid="_x0000_s70670"/>
                </a:ext>
                <a:ext uri="{FF2B5EF4-FFF2-40B4-BE49-F238E27FC236}">
                  <a16:creationId xmlns:a16="http://schemas.microsoft.com/office/drawing/2014/main" id="{00000000-0008-0000-1800-00000E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65</xdr:row>
          <xdr:rowOff>0</xdr:rowOff>
        </xdr:from>
        <xdr:to>
          <xdr:col>6</xdr:col>
          <xdr:colOff>0</xdr:colOff>
          <xdr:row>66</xdr:row>
          <xdr:rowOff>0</xdr:rowOff>
        </xdr:to>
        <xdr:sp macro="" textlink="">
          <xdr:nvSpPr>
            <xdr:cNvPr id="70671" name="Option Button 15" hidden="1">
              <a:extLst>
                <a:ext uri="{63B3BB69-23CF-44E3-9099-C40C66FF867C}">
                  <a14:compatExt spid="_x0000_s70671"/>
                </a:ext>
                <a:ext uri="{FF2B5EF4-FFF2-40B4-BE49-F238E27FC236}">
                  <a16:creationId xmlns:a16="http://schemas.microsoft.com/office/drawing/2014/main" id="{00000000-0008-0000-1800-00000F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65</xdr:row>
          <xdr:rowOff>0</xdr:rowOff>
        </xdr:from>
        <xdr:to>
          <xdr:col>6</xdr:col>
          <xdr:colOff>323850</xdr:colOff>
          <xdr:row>67</xdr:row>
          <xdr:rowOff>165100</xdr:rowOff>
        </xdr:to>
        <xdr:sp macro="" textlink="">
          <xdr:nvSpPr>
            <xdr:cNvPr id="70672" name="Group Box 16" hidden="1">
              <a:extLst>
                <a:ext uri="{63B3BB69-23CF-44E3-9099-C40C66FF867C}">
                  <a14:compatExt spid="_x0000_s70672"/>
                </a:ext>
                <a:ext uri="{FF2B5EF4-FFF2-40B4-BE49-F238E27FC236}">
                  <a16:creationId xmlns:a16="http://schemas.microsoft.com/office/drawing/2014/main" id="{00000000-0008-0000-1800-0000101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70</xdr:row>
          <xdr:rowOff>0</xdr:rowOff>
        </xdr:from>
        <xdr:to>
          <xdr:col>2</xdr:col>
          <xdr:colOff>12700</xdr:colOff>
          <xdr:row>71</xdr:row>
          <xdr:rowOff>69850</xdr:rowOff>
        </xdr:to>
        <xdr:sp macro="" textlink="">
          <xdr:nvSpPr>
            <xdr:cNvPr id="70674" name="OptionButton7" hidden="1">
              <a:extLst>
                <a:ext uri="{63B3BB69-23CF-44E3-9099-C40C66FF867C}">
                  <a14:compatExt spid="_x0000_s70674"/>
                </a:ext>
                <a:ext uri="{FF2B5EF4-FFF2-40B4-BE49-F238E27FC236}">
                  <a16:creationId xmlns:a16="http://schemas.microsoft.com/office/drawing/2014/main" id="{00000000-0008-0000-1800-0000121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317500</xdr:colOff>
          <xdr:row>68</xdr:row>
          <xdr:rowOff>209550</xdr:rowOff>
        </xdr:from>
        <xdr:to>
          <xdr:col>4</xdr:col>
          <xdr:colOff>304800</xdr:colOff>
          <xdr:row>72</xdr:row>
          <xdr:rowOff>12700</xdr:rowOff>
        </xdr:to>
        <xdr:sp macro="" textlink="">
          <xdr:nvSpPr>
            <xdr:cNvPr id="70676" name="Group Box 20" hidden="1">
              <a:extLst>
                <a:ext uri="{63B3BB69-23CF-44E3-9099-C40C66FF867C}">
                  <a14:compatExt spid="_x0000_s70676"/>
                </a:ext>
                <a:ext uri="{FF2B5EF4-FFF2-40B4-BE49-F238E27FC236}">
                  <a16:creationId xmlns:a16="http://schemas.microsoft.com/office/drawing/2014/main" id="{00000000-0008-0000-1800-0000141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889000</xdr:colOff>
          <xdr:row>37</xdr:row>
          <xdr:rowOff>127000</xdr:rowOff>
        </xdr:from>
        <xdr:to>
          <xdr:col>3</xdr:col>
          <xdr:colOff>889000</xdr:colOff>
          <xdr:row>38</xdr:row>
          <xdr:rowOff>127000</xdr:rowOff>
        </xdr:to>
        <xdr:sp macro="" textlink="">
          <xdr:nvSpPr>
            <xdr:cNvPr id="70677" name="Option Button 21" hidden="1">
              <a:extLst>
                <a:ext uri="{63B3BB69-23CF-44E3-9099-C40C66FF867C}">
                  <a14:compatExt spid="_x0000_s70677"/>
                </a:ext>
                <a:ext uri="{FF2B5EF4-FFF2-40B4-BE49-F238E27FC236}">
                  <a16:creationId xmlns:a16="http://schemas.microsoft.com/office/drawing/2014/main" id="{00000000-0008-0000-1800-00001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WEIGH 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736600</xdr:colOff>
          <xdr:row>37</xdr:row>
          <xdr:rowOff>69850</xdr:rowOff>
        </xdr:from>
        <xdr:to>
          <xdr:col>3</xdr:col>
          <xdr:colOff>990600</xdr:colOff>
          <xdr:row>38</xdr:row>
          <xdr:rowOff>69850</xdr:rowOff>
        </xdr:to>
        <xdr:sp macro="" textlink="">
          <xdr:nvSpPr>
            <xdr:cNvPr id="70678" name="Option Button 22" hidden="1">
              <a:extLst>
                <a:ext uri="{63B3BB69-23CF-44E3-9099-C40C66FF867C}">
                  <a14:compatExt spid="_x0000_s70678"/>
                </a:ext>
                <a:ext uri="{FF2B5EF4-FFF2-40B4-BE49-F238E27FC236}">
                  <a16:creationId xmlns:a16="http://schemas.microsoft.com/office/drawing/2014/main" id="{00000000-0008-0000-1800-000016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SUPERHEAT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37</xdr:row>
          <xdr:rowOff>69850</xdr:rowOff>
        </xdr:from>
        <xdr:to>
          <xdr:col>5</xdr:col>
          <xdr:colOff>469900</xdr:colOff>
          <xdr:row>38</xdr:row>
          <xdr:rowOff>69850</xdr:rowOff>
        </xdr:to>
        <xdr:sp macro="" textlink="">
          <xdr:nvSpPr>
            <xdr:cNvPr id="70679" name="Option Button 23" hidden="1">
              <a:extLst>
                <a:ext uri="{63B3BB69-23CF-44E3-9099-C40C66FF867C}">
                  <a14:compatExt spid="_x0000_s70679"/>
                </a:ext>
                <a:ext uri="{FF2B5EF4-FFF2-40B4-BE49-F238E27FC236}">
                  <a16:creationId xmlns:a16="http://schemas.microsoft.com/office/drawing/2014/main" id="{00000000-0008-0000-1800-000017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SUBCOOLING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36</xdr:row>
          <xdr:rowOff>266700</xdr:rowOff>
        </xdr:from>
        <xdr:to>
          <xdr:col>14</xdr:col>
          <xdr:colOff>895350</xdr:colOff>
          <xdr:row>39</xdr:row>
          <xdr:rowOff>50800</xdr:rowOff>
        </xdr:to>
        <xdr:sp macro="" textlink="">
          <xdr:nvSpPr>
            <xdr:cNvPr id="70681" name="Group Box 25" hidden="1">
              <a:extLst>
                <a:ext uri="{63B3BB69-23CF-44E3-9099-C40C66FF867C}">
                  <a14:compatExt spid="_x0000_s70681"/>
                </a:ext>
                <a:ext uri="{FF2B5EF4-FFF2-40B4-BE49-F238E27FC236}">
                  <a16:creationId xmlns:a16="http://schemas.microsoft.com/office/drawing/2014/main" id="{00000000-0008-0000-1800-0000191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1</xdr:col>
          <xdr:colOff>647700</xdr:colOff>
          <xdr:row>45</xdr:row>
          <xdr:rowOff>69850</xdr:rowOff>
        </xdr:to>
        <xdr:sp macro="" textlink="">
          <xdr:nvSpPr>
            <xdr:cNvPr id="70683" name="OptionButton10" hidden="1">
              <a:extLst>
                <a:ext uri="{63B3BB69-23CF-44E3-9099-C40C66FF867C}">
                  <a14:compatExt spid="_x0000_s70683"/>
                </a:ext>
                <a:ext uri="{FF2B5EF4-FFF2-40B4-BE49-F238E27FC236}">
                  <a16:creationId xmlns:a16="http://schemas.microsoft.com/office/drawing/2014/main" id="{00000000-0008-0000-1800-00001B1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571500</xdr:colOff>
          <xdr:row>42</xdr:row>
          <xdr:rowOff>209550</xdr:rowOff>
        </xdr:from>
        <xdr:to>
          <xdr:col>4</xdr:col>
          <xdr:colOff>304800</xdr:colOff>
          <xdr:row>46</xdr:row>
          <xdr:rowOff>12700</xdr:rowOff>
        </xdr:to>
        <xdr:sp macro="" textlink="">
          <xdr:nvSpPr>
            <xdr:cNvPr id="70685" name="Group Box 29" hidden="1">
              <a:extLst>
                <a:ext uri="{63B3BB69-23CF-44E3-9099-C40C66FF867C}">
                  <a14:compatExt spid="_x0000_s70685"/>
                </a:ext>
                <a:ext uri="{FF2B5EF4-FFF2-40B4-BE49-F238E27FC236}">
                  <a16:creationId xmlns:a16="http://schemas.microsoft.com/office/drawing/2014/main" id="{00000000-0008-0000-1800-00001D1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374650</xdr:colOff>
          <xdr:row>120</xdr:row>
          <xdr:rowOff>88900</xdr:rowOff>
        </xdr:from>
        <xdr:to>
          <xdr:col>14</xdr:col>
          <xdr:colOff>641350</xdr:colOff>
          <xdr:row>123</xdr:row>
          <xdr:rowOff>95250</xdr:rowOff>
        </xdr:to>
        <xdr:sp macro="" textlink="">
          <xdr:nvSpPr>
            <xdr:cNvPr id="70695" name="CommandButton1" hidden="1">
              <a:extLst>
                <a:ext uri="{63B3BB69-23CF-44E3-9099-C40C66FF867C}">
                  <a14:compatExt spid="_x0000_s70695"/>
                </a:ext>
                <a:ext uri="{FF2B5EF4-FFF2-40B4-BE49-F238E27FC236}">
                  <a16:creationId xmlns:a16="http://schemas.microsoft.com/office/drawing/2014/main" id="{00000000-0008-0000-1800-0000271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812800</xdr:colOff>
          <xdr:row>9</xdr:row>
          <xdr:rowOff>114300</xdr:rowOff>
        </xdr:from>
        <xdr:to>
          <xdr:col>4</xdr:col>
          <xdr:colOff>603250</xdr:colOff>
          <xdr:row>10</xdr:row>
          <xdr:rowOff>12700</xdr:rowOff>
        </xdr:to>
        <xdr:sp macro="" textlink="">
          <xdr:nvSpPr>
            <xdr:cNvPr id="70757" name="Check Box 101" hidden="1">
              <a:extLst>
                <a:ext uri="{63B3BB69-23CF-44E3-9099-C40C66FF867C}">
                  <a14:compatExt spid="_x0000_s70757"/>
                </a:ext>
                <a:ext uri="{FF2B5EF4-FFF2-40B4-BE49-F238E27FC236}">
                  <a16:creationId xmlns:a16="http://schemas.microsoft.com/office/drawing/2014/main" id="{00000000-0008-0000-1800-00006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9</xdr:row>
          <xdr:rowOff>88900</xdr:rowOff>
        </xdr:from>
        <xdr:to>
          <xdr:col>3</xdr:col>
          <xdr:colOff>0</xdr:colOff>
          <xdr:row>10</xdr:row>
          <xdr:rowOff>0</xdr:rowOff>
        </xdr:to>
        <xdr:sp macro="" textlink="">
          <xdr:nvSpPr>
            <xdr:cNvPr id="70758" name="Check Box 102" hidden="1">
              <a:extLst>
                <a:ext uri="{63B3BB69-23CF-44E3-9099-C40C66FF867C}">
                  <a14:compatExt spid="_x0000_s70758"/>
                </a:ext>
                <a:ext uri="{FF2B5EF4-FFF2-40B4-BE49-F238E27FC236}">
                  <a16:creationId xmlns:a16="http://schemas.microsoft.com/office/drawing/2014/main" id="{00000000-0008-0000-1800-000066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9</xdr:row>
          <xdr:rowOff>95250</xdr:rowOff>
        </xdr:from>
        <xdr:to>
          <xdr:col>3</xdr:col>
          <xdr:colOff>742950</xdr:colOff>
          <xdr:row>10</xdr:row>
          <xdr:rowOff>0</xdr:rowOff>
        </xdr:to>
        <xdr:sp macro="" textlink="">
          <xdr:nvSpPr>
            <xdr:cNvPr id="70759" name="Check Box 103" hidden="1">
              <a:extLst>
                <a:ext uri="{63B3BB69-23CF-44E3-9099-C40C66FF867C}">
                  <a14:compatExt spid="_x0000_s70759"/>
                </a:ext>
                <a:ext uri="{FF2B5EF4-FFF2-40B4-BE49-F238E27FC236}">
                  <a16:creationId xmlns:a16="http://schemas.microsoft.com/office/drawing/2014/main" id="{00000000-0008-0000-1800-000067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9</xdr:row>
          <xdr:rowOff>95250</xdr:rowOff>
        </xdr:from>
        <xdr:to>
          <xdr:col>1</xdr:col>
          <xdr:colOff>438150</xdr:colOff>
          <xdr:row>10</xdr:row>
          <xdr:rowOff>0</xdr:rowOff>
        </xdr:to>
        <xdr:sp macro="" textlink="">
          <xdr:nvSpPr>
            <xdr:cNvPr id="70760" name="Check Box 104" hidden="1">
              <a:extLst>
                <a:ext uri="{63B3BB69-23CF-44E3-9099-C40C66FF867C}">
                  <a14:compatExt spid="_x0000_s70760"/>
                </a:ext>
                <a:ext uri="{FF2B5EF4-FFF2-40B4-BE49-F238E27FC236}">
                  <a16:creationId xmlns:a16="http://schemas.microsoft.com/office/drawing/2014/main" id="{00000000-0008-0000-1800-000068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96</xdr:row>
          <xdr:rowOff>0</xdr:rowOff>
        </xdr:from>
        <xdr:to>
          <xdr:col>4</xdr:col>
          <xdr:colOff>304800</xdr:colOff>
          <xdr:row>100</xdr:row>
          <xdr:rowOff>146050</xdr:rowOff>
        </xdr:to>
        <xdr:sp macro="" textlink="">
          <xdr:nvSpPr>
            <xdr:cNvPr id="70761" name="Group Box 105" hidden="1">
              <a:extLst>
                <a:ext uri="{63B3BB69-23CF-44E3-9099-C40C66FF867C}">
                  <a14:compatExt spid="_x0000_s70761"/>
                </a:ext>
                <a:ext uri="{FF2B5EF4-FFF2-40B4-BE49-F238E27FC236}">
                  <a16:creationId xmlns:a16="http://schemas.microsoft.com/office/drawing/2014/main" id="{00000000-0008-0000-1800-0000691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103</xdr:row>
          <xdr:rowOff>0</xdr:rowOff>
        </xdr:from>
        <xdr:to>
          <xdr:col>5</xdr:col>
          <xdr:colOff>50800</xdr:colOff>
          <xdr:row>104</xdr:row>
          <xdr:rowOff>50800</xdr:rowOff>
        </xdr:to>
        <xdr:sp macro="" textlink="">
          <xdr:nvSpPr>
            <xdr:cNvPr id="70762" name="Option Button 106" hidden="1">
              <a:extLst>
                <a:ext uri="{63B3BB69-23CF-44E3-9099-C40C66FF867C}">
                  <a14:compatExt spid="_x0000_s70762"/>
                </a:ext>
                <a:ext uri="{FF2B5EF4-FFF2-40B4-BE49-F238E27FC236}">
                  <a16:creationId xmlns:a16="http://schemas.microsoft.com/office/drawing/2014/main" id="{00000000-0008-0000-1800-00006A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103</xdr:row>
          <xdr:rowOff>12700</xdr:rowOff>
        </xdr:from>
        <xdr:to>
          <xdr:col>6</xdr:col>
          <xdr:colOff>0</xdr:colOff>
          <xdr:row>104</xdr:row>
          <xdr:rowOff>12700</xdr:rowOff>
        </xdr:to>
        <xdr:sp macro="" textlink="">
          <xdr:nvSpPr>
            <xdr:cNvPr id="70763" name="Option Button 107" hidden="1">
              <a:extLst>
                <a:ext uri="{63B3BB69-23CF-44E3-9099-C40C66FF867C}">
                  <a14:compatExt spid="_x0000_s70763"/>
                </a:ext>
                <a:ext uri="{FF2B5EF4-FFF2-40B4-BE49-F238E27FC236}">
                  <a16:creationId xmlns:a16="http://schemas.microsoft.com/office/drawing/2014/main" id="{00000000-0008-0000-1800-00006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102</xdr:row>
          <xdr:rowOff>12700</xdr:rowOff>
        </xdr:from>
        <xdr:to>
          <xdr:col>6</xdr:col>
          <xdr:colOff>533400</xdr:colOff>
          <xdr:row>104</xdr:row>
          <xdr:rowOff>165100</xdr:rowOff>
        </xdr:to>
        <xdr:sp macro="" textlink="">
          <xdr:nvSpPr>
            <xdr:cNvPr id="70764" name="Group Box 108" hidden="1">
              <a:extLst>
                <a:ext uri="{63B3BB69-23CF-44E3-9099-C40C66FF867C}">
                  <a14:compatExt spid="_x0000_s70764"/>
                </a:ext>
                <a:ext uri="{FF2B5EF4-FFF2-40B4-BE49-F238E27FC236}">
                  <a16:creationId xmlns:a16="http://schemas.microsoft.com/office/drawing/2014/main" id="{00000000-0008-0000-1800-00006C1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374650</xdr:colOff>
          <xdr:row>96</xdr:row>
          <xdr:rowOff>76200</xdr:rowOff>
        </xdr:from>
        <xdr:to>
          <xdr:col>4</xdr:col>
          <xdr:colOff>304800</xdr:colOff>
          <xdr:row>100</xdr:row>
          <xdr:rowOff>38100</xdr:rowOff>
        </xdr:to>
        <xdr:sp macro="" textlink="">
          <xdr:nvSpPr>
            <xdr:cNvPr id="70765" name="Group Box 109" hidden="1">
              <a:extLst>
                <a:ext uri="{63B3BB69-23CF-44E3-9099-C40C66FF867C}">
                  <a14:compatExt spid="_x0000_s70765"/>
                </a:ext>
                <a:ext uri="{FF2B5EF4-FFF2-40B4-BE49-F238E27FC236}">
                  <a16:creationId xmlns:a16="http://schemas.microsoft.com/office/drawing/2014/main" id="{00000000-0008-0000-1800-00006D1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106</xdr:row>
          <xdr:rowOff>0</xdr:rowOff>
        </xdr:from>
        <xdr:to>
          <xdr:col>5</xdr:col>
          <xdr:colOff>50800</xdr:colOff>
          <xdr:row>107</xdr:row>
          <xdr:rowOff>50800</xdr:rowOff>
        </xdr:to>
        <xdr:sp macro="" textlink="">
          <xdr:nvSpPr>
            <xdr:cNvPr id="70766" name="Option Button 110" hidden="1">
              <a:extLst>
                <a:ext uri="{63B3BB69-23CF-44E3-9099-C40C66FF867C}">
                  <a14:compatExt spid="_x0000_s70766"/>
                </a:ext>
                <a:ext uri="{FF2B5EF4-FFF2-40B4-BE49-F238E27FC236}">
                  <a16:creationId xmlns:a16="http://schemas.microsoft.com/office/drawing/2014/main" id="{00000000-0008-0000-1800-00006E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106</xdr:row>
          <xdr:rowOff>12700</xdr:rowOff>
        </xdr:from>
        <xdr:to>
          <xdr:col>6</xdr:col>
          <xdr:colOff>0</xdr:colOff>
          <xdr:row>107</xdr:row>
          <xdr:rowOff>12700</xdr:rowOff>
        </xdr:to>
        <xdr:sp macro="" textlink="">
          <xdr:nvSpPr>
            <xdr:cNvPr id="70767" name="Option Button 111" hidden="1">
              <a:extLst>
                <a:ext uri="{63B3BB69-23CF-44E3-9099-C40C66FF867C}">
                  <a14:compatExt spid="_x0000_s70767"/>
                </a:ext>
                <a:ext uri="{FF2B5EF4-FFF2-40B4-BE49-F238E27FC236}">
                  <a16:creationId xmlns:a16="http://schemas.microsoft.com/office/drawing/2014/main" id="{00000000-0008-0000-1800-00006F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105</xdr:row>
          <xdr:rowOff>69850</xdr:rowOff>
        </xdr:from>
        <xdr:to>
          <xdr:col>6</xdr:col>
          <xdr:colOff>323850</xdr:colOff>
          <xdr:row>108</xdr:row>
          <xdr:rowOff>50800</xdr:rowOff>
        </xdr:to>
        <xdr:sp macro="" textlink="">
          <xdr:nvSpPr>
            <xdr:cNvPr id="70768" name="Group Box 112" hidden="1">
              <a:extLst>
                <a:ext uri="{63B3BB69-23CF-44E3-9099-C40C66FF867C}">
                  <a14:compatExt spid="_x0000_s70768"/>
                </a:ext>
                <a:ext uri="{FF2B5EF4-FFF2-40B4-BE49-F238E27FC236}">
                  <a16:creationId xmlns:a16="http://schemas.microsoft.com/office/drawing/2014/main" id="{00000000-0008-0000-1800-0000701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42</a:t>
              </a:r>
            </a:p>
          </xdr:txBody>
        </xdr:sp>
        <xdr:clientData/>
      </xdr:twoCellAnchor>
    </mc:Choice>
    <mc:Fallback/>
  </mc:AlternateContent>
</xdr:wsDr>
</file>

<file path=xl/drawings/drawing22.xml><?xml version="1.0" encoding="utf-8"?>
<xdr:wsDr xmlns:xdr="http://schemas.openxmlformats.org/drawingml/2006/spreadsheetDrawing" xmlns:a="http://schemas.openxmlformats.org/drawingml/2006/main">
  <xdr:twoCellAnchor editAs="oneCell">
    <xdr:from>
      <xdr:col>10</xdr:col>
      <xdr:colOff>1005417</xdr:colOff>
      <xdr:row>0</xdr:row>
      <xdr:rowOff>49741</xdr:rowOff>
    </xdr:from>
    <xdr:to>
      <xdr:col>14</xdr:col>
      <xdr:colOff>627239</xdr:colOff>
      <xdr:row>1</xdr:row>
      <xdr:rowOff>49741</xdr:rowOff>
    </xdr:to>
    <xdr:pic>
      <xdr:nvPicPr>
        <xdr:cNvPr id="69959" name="Picture 1">
          <a:extLst>
            <a:ext uri="{FF2B5EF4-FFF2-40B4-BE49-F238E27FC236}">
              <a16:creationId xmlns:a16="http://schemas.microsoft.com/office/drawing/2014/main" id="{00000000-0008-0000-1A00-000047110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61500" y="49741"/>
          <a:ext cx="3082572" cy="70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889000</xdr:colOff>
          <xdr:row>19</xdr:row>
          <xdr:rowOff>260350</xdr:rowOff>
        </xdr:from>
        <xdr:to>
          <xdr:col>6</xdr:col>
          <xdr:colOff>184150</xdr:colOff>
          <xdr:row>20</xdr:row>
          <xdr:rowOff>190500</xdr:rowOff>
        </xdr:to>
        <xdr:sp macro="" textlink="">
          <xdr:nvSpPr>
            <xdr:cNvPr id="69633" name="OptionButton1" hidden="1">
              <a:extLst>
                <a:ext uri="{63B3BB69-23CF-44E3-9099-C40C66FF867C}">
                  <a14:compatExt spid="_x0000_s69633"/>
                </a:ext>
                <a:ext uri="{FF2B5EF4-FFF2-40B4-BE49-F238E27FC236}">
                  <a16:creationId xmlns:a16="http://schemas.microsoft.com/office/drawing/2014/main" id="{00000000-0008-0000-1900-0000011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241300</xdr:rowOff>
        </xdr:from>
        <xdr:to>
          <xdr:col>10</xdr:col>
          <xdr:colOff>273050</xdr:colOff>
          <xdr:row>20</xdr:row>
          <xdr:rowOff>228600</xdr:rowOff>
        </xdr:to>
        <xdr:sp macro="" textlink="">
          <xdr:nvSpPr>
            <xdr:cNvPr id="69634" name="OptionButton2" hidden="1">
              <a:extLst>
                <a:ext uri="{63B3BB69-23CF-44E3-9099-C40C66FF867C}">
                  <a14:compatExt spid="_x0000_s69634"/>
                </a:ext>
                <a:ext uri="{FF2B5EF4-FFF2-40B4-BE49-F238E27FC236}">
                  <a16:creationId xmlns:a16="http://schemas.microsoft.com/office/drawing/2014/main" id="{00000000-0008-0000-1900-0000021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19</xdr:row>
          <xdr:rowOff>57150</xdr:rowOff>
        </xdr:from>
        <xdr:to>
          <xdr:col>7</xdr:col>
          <xdr:colOff>95250</xdr:colOff>
          <xdr:row>20</xdr:row>
          <xdr:rowOff>336550</xdr:rowOff>
        </xdr:to>
        <xdr:sp macro="" textlink="">
          <xdr:nvSpPr>
            <xdr:cNvPr id="69635" name="Group Box 3" hidden="1">
              <a:extLst>
                <a:ext uri="{63B3BB69-23CF-44E3-9099-C40C66FF867C}">
                  <a14:compatExt spid="_x0000_s69635"/>
                </a:ext>
                <a:ext uri="{FF2B5EF4-FFF2-40B4-BE49-F238E27FC236}">
                  <a16:creationId xmlns:a16="http://schemas.microsoft.com/office/drawing/2014/main" id="{00000000-0008-0000-1900-000003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21</xdr:row>
          <xdr:rowOff>190500</xdr:rowOff>
        </xdr:from>
        <xdr:to>
          <xdr:col>9</xdr:col>
          <xdr:colOff>50800</xdr:colOff>
          <xdr:row>22</xdr:row>
          <xdr:rowOff>0</xdr:rowOff>
        </xdr:to>
        <xdr:sp macro="" textlink="">
          <xdr:nvSpPr>
            <xdr:cNvPr id="69636" name="Check Box 4" hidden="1">
              <a:extLst>
                <a:ext uri="{63B3BB69-23CF-44E3-9099-C40C66FF867C}">
                  <a14:compatExt spid="_x0000_s69636"/>
                </a:ext>
                <a:ext uri="{FF2B5EF4-FFF2-40B4-BE49-F238E27FC236}">
                  <a16:creationId xmlns:a16="http://schemas.microsoft.com/office/drawing/2014/main" id="{00000000-0008-0000-1900-000004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Existing Ductwork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21</xdr:row>
          <xdr:rowOff>190500</xdr:rowOff>
        </xdr:from>
        <xdr:to>
          <xdr:col>10</xdr:col>
          <xdr:colOff>990600</xdr:colOff>
          <xdr:row>22</xdr:row>
          <xdr:rowOff>0</xdr:rowOff>
        </xdr:to>
        <xdr:sp macro="" textlink="">
          <xdr:nvSpPr>
            <xdr:cNvPr id="69637" name="Check Box 5" hidden="1">
              <a:extLst>
                <a:ext uri="{63B3BB69-23CF-44E3-9099-C40C66FF867C}">
                  <a14:compatExt spid="_x0000_s69637"/>
                </a:ext>
                <a:ext uri="{FF2B5EF4-FFF2-40B4-BE49-F238E27FC236}">
                  <a16:creationId xmlns:a16="http://schemas.microsoft.com/office/drawing/2014/main" id="{00000000-0008-0000-1900-000005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Variable Speed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65</xdr:row>
          <xdr:rowOff>0</xdr:rowOff>
        </xdr:from>
        <xdr:to>
          <xdr:col>4</xdr:col>
          <xdr:colOff>260350</xdr:colOff>
          <xdr:row>69</xdr:row>
          <xdr:rowOff>95250</xdr:rowOff>
        </xdr:to>
        <xdr:sp macro="" textlink="">
          <xdr:nvSpPr>
            <xdr:cNvPr id="69641" name="Group Box 9" hidden="1">
              <a:extLst>
                <a:ext uri="{63B3BB69-23CF-44E3-9099-C40C66FF867C}">
                  <a14:compatExt spid="_x0000_s69641"/>
                </a:ext>
                <a:ext uri="{FF2B5EF4-FFF2-40B4-BE49-F238E27FC236}">
                  <a16:creationId xmlns:a16="http://schemas.microsoft.com/office/drawing/2014/main" id="{00000000-0008-0000-1900-000009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65</xdr:row>
          <xdr:rowOff>0</xdr:rowOff>
        </xdr:from>
        <xdr:to>
          <xdr:col>5</xdr:col>
          <xdr:colOff>50800</xdr:colOff>
          <xdr:row>66</xdr:row>
          <xdr:rowOff>50800</xdr:rowOff>
        </xdr:to>
        <xdr:sp macro="" textlink="">
          <xdr:nvSpPr>
            <xdr:cNvPr id="69642" name="Option Button 10" hidden="1">
              <a:extLst>
                <a:ext uri="{63B3BB69-23CF-44E3-9099-C40C66FF867C}">
                  <a14:compatExt spid="_x0000_s69642"/>
                </a:ext>
                <a:ext uri="{FF2B5EF4-FFF2-40B4-BE49-F238E27FC236}">
                  <a16:creationId xmlns:a16="http://schemas.microsoft.com/office/drawing/2014/main" id="{00000000-0008-0000-1900-00000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65</xdr:row>
          <xdr:rowOff>0</xdr:rowOff>
        </xdr:from>
        <xdr:to>
          <xdr:col>6</xdr:col>
          <xdr:colOff>0</xdr:colOff>
          <xdr:row>66</xdr:row>
          <xdr:rowOff>0</xdr:rowOff>
        </xdr:to>
        <xdr:sp macro="" textlink="">
          <xdr:nvSpPr>
            <xdr:cNvPr id="69643" name="Option Button 11" hidden="1">
              <a:extLst>
                <a:ext uri="{63B3BB69-23CF-44E3-9099-C40C66FF867C}">
                  <a14:compatExt spid="_x0000_s69643"/>
                </a:ext>
                <a:ext uri="{FF2B5EF4-FFF2-40B4-BE49-F238E27FC236}">
                  <a16:creationId xmlns:a16="http://schemas.microsoft.com/office/drawing/2014/main" id="{00000000-0008-0000-1900-00000B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65</xdr:row>
          <xdr:rowOff>0</xdr:rowOff>
        </xdr:from>
        <xdr:to>
          <xdr:col>6</xdr:col>
          <xdr:colOff>533400</xdr:colOff>
          <xdr:row>67</xdr:row>
          <xdr:rowOff>152400</xdr:rowOff>
        </xdr:to>
        <xdr:sp macro="" textlink="">
          <xdr:nvSpPr>
            <xdr:cNvPr id="69644" name="Group Box 12" hidden="1">
              <a:extLst>
                <a:ext uri="{63B3BB69-23CF-44E3-9099-C40C66FF867C}">
                  <a14:compatExt spid="_x0000_s69644"/>
                </a:ext>
                <a:ext uri="{FF2B5EF4-FFF2-40B4-BE49-F238E27FC236}">
                  <a16:creationId xmlns:a16="http://schemas.microsoft.com/office/drawing/2014/main" id="{00000000-0008-0000-1900-00000C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374650</xdr:colOff>
          <xdr:row>65</xdr:row>
          <xdr:rowOff>0</xdr:rowOff>
        </xdr:from>
        <xdr:to>
          <xdr:col>4</xdr:col>
          <xdr:colOff>260350</xdr:colOff>
          <xdr:row>68</xdr:row>
          <xdr:rowOff>95250</xdr:rowOff>
        </xdr:to>
        <xdr:sp macro="" textlink="">
          <xdr:nvSpPr>
            <xdr:cNvPr id="69645" name="Group Box 13" hidden="1">
              <a:extLst>
                <a:ext uri="{63B3BB69-23CF-44E3-9099-C40C66FF867C}">
                  <a14:compatExt spid="_x0000_s69645"/>
                </a:ext>
                <a:ext uri="{FF2B5EF4-FFF2-40B4-BE49-F238E27FC236}">
                  <a16:creationId xmlns:a16="http://schemas.microsoft.com/office/drawing/2014/main" id="{00000000-0008-0000-1900-00000D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65</xdr:row>
          <xdr:rowOff>0</xdr:rowOff>
        </xdr:from>
        <xdr:to>
          <xdr:col>5</xdr:col>
          <xdr:colOff>50800</xdr:colOff>
          <xdr:row>66</xdr:row>
          <xdr:rowOff>50800</xdr:rowOff>
        </xdr:to>
        <xdr:sp macro="" textlink="">
          <xdr:nvSpPr>
            <xdr:cNvPr id="69646" name="Option Button 14" hidden="1">
              <a:extLst>
                <a:ext uri="{63B3BB69-23CF-44E3-9099-C40C66FF867C}">
                  <a14:compatExt spid="_x0000_s69646"/>
                </a:ext>
                <a:ext uri="{FF2B5EF4-FFF2-40B4-BE49-F238E27FC236}">
                  <a16:creationId xmlns:a16="http://schemas.microsoft.com/office/drawing/2014/main" id="{00000000-0008-0000-1900-00000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65</xdr:row>
          <xdr:rowOff>0</xdr:rowOff>
        </xdr:from>
        <xdr:to>
          <xdr:col>6</xdr:col>
          <xdr:colOff>0</xdr:colOff>
          <xdr:row>66</xdr:row>
          <xdr:rowOff>0</xdr:rowOff>
        </xdr:to>
        <xdr:sp macro="" textlink="">
          <xdr:nvSpPr>
            <xdr:cNvPr id="69647" name="Option Button 15" hidden="1">
              <a:extLst>
                <a:ext uri="{63B3BB69-23CF-44E3-9099-C40C66FF867C}">
                  <a14:compatExt spid="_x0000_s69647"/>
                </a:ext>
                <a:ext uri="{FF2B5EF4-FFF2-40B4-BE49-F238E27FC236}">
                  <a16:creationId xmlns:a16="http://schemas.microsoft.com/office/drawing/2014/main" id="{00000000-0008-0000-1900-00000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65</xdr:row>
          <xdr:rowOff>0</xdr:rowOff>
        </xdr:from>
        <xdr:to>
          <xdr:col>6</xdr:col>
          <xdr:colOff>323850</xdr:colOff>
          <xdr:row>67</xdr:row>
          <xdr:rowOff>165100</xdr:rowOff>
        </xdr:to>
        <xdr:sp macro="" textlink="">
          <xdr:nvSpPr>
            <xdr:cNvPr id="69648" name="Group Box 16" hidden="1">
              <a:extLst>
                <a:ext uri="{63B3BB69-23CF-44E3-9099-C40C66FF867C}">
                  <a14:compatExt spid="_x0000_s69648"/>
                </a:ext>
                <a:ext uri="{FF2B5EF4-FFF2-40B4-BE49-F238E27FC236}">
                  <a16:creationId xmlns:a16="http://schemas.microsoft.com/office/drawing/2014/main" id="{00000000-0008-0000-1900-000010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70</xdr:row>
          <xdr:rowOff>0</xdr:rowOff>
        </xdr:from>
        <xdr:to>
          <xdr:col>2</xdr:col>
          <xdr:colOff>57150</xdr:colOff>
          <xdr:row>71</xdr:row>
          <xdr:rowOff>69850</xdr:rowOff>
        </xdr:to>
        <xdr:sp macro="" textlink="">
          <xdr:nvSpPr>
            <xdr:cNvPr id="69650" name="OptionButton7" hidden="1">
              <a:extLst>
                <a:ext uri="{63B3BB69-23CF-44E3-9099-C40C66FF867C}">
                  <a14:compatExt spid="_x0000_s69650"/>
                </a:ext>
                <a:ext uri="{FF2B5EF4-FFF2-40B4-BE49-F238E27FC236}">
                  <a16:creationId xmlns:a16="http://schemas.microsoft.com/office/drawing/2014/main" id="{00000000-0008-0000-1900-0000121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317500</xdr:colOff>
          <xdr:row>68</xdr:row>
          <xdr:rowOff>209550</xdr:rowOff>
        </xdr:from>
        <xdr:to>
          <xdr:col>4</xdr:col>
          <xdr:colOff>260350</xdr:colOff>
          <xdr:row>72</xdr:row>
          <xdr:rowOff>12700</xdr:rowOff>
        </xdr:to>
        <xdr:sp macro="" textlink="">
          <xdr:nvSpPr>
            <xdr:cNvPr id="69652" name="Group Box 20" hidden="1">
              <a:extLst>
                <a:ext uri="{63B3BB69-23CF-44E3-9099-C40C66FF867C}">
                  <a14:compatExt spid="_x0000_s69652"/>
                </a:ext>
                <a:ext uri="{FF2B5EF4-FFF2-40B4-BE49-F238E27FC236}">
                  <a16:creationId xmlns:a16="http://schemas.microsoft.com/office/drawing/2014/main" id="{00000000-0008-0000-1900-000014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889000</xdr:colOff>
          <xdr:row>37</xdr:row>
          <xdr:rowOff>127000</xdr:rowOff>
        </xdr:from>
        <xdr:to>
          <xdr:col>3</xdr:col>
          <xdr:colOff>889000</xdr:colOff>
          <xdr:row>38</xdr:row>
          <xdr:rowOff>127000</xdr:rowOff>
        </xdr:to>
        <xdr:sp macro="" textlink="">
          <xdr:nvSpPr>
            <xdr:cNvPr id="69653" name="Option Button 21" hidden="1">
              <a:extLst>
                <a:ext uri="{63B3BB69-23CF-44E3-9099-C40C66FF867C}">
                  <a14:compatExt spid="_x0000_s69653"/>
                </a:ext>
                <a:ext uri="{FF2B5EF4-FFF2-40B4-BE49-F238E27FC236}">
                  <a16:creationId xmlns:a16="http://schemas.microsoft.com/office/drawing/2014/main" id="{00000000-0008-0000-1900-000015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WEIGH 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1060450</xdr:colOff>
          <xdr:row>37</xdr:row>
          <xdr:rowOff>69850</xdr:rowOff>
        </xdr:from>
        <xdr:to>
          <xdr:col>4</xdr:col>
          <xdr:colOff>190500</xdr:colOff>
          <xdr:row>38</xdr:row>
          <xdr:rowOff>69850</xdr:rowOff>
        </xdr:to>
        <xdr:sp macro="" textlink="">
          <xdr:nvSpPr>
            <xdr:cNvPr id="69654" name="Option Button 22" hidden="1">
              <a:extLst>
                <a:ext uri="{63B3BB69-23CF-44E3-9099-C40C66FF867C}">
                  <a14:compatExt spid="_x0000_s69654"/>
                </a:ext>
                <a:ext uri="{FF2B5EF4-FFF2-40B4-BE49-F238E27FC236}">
                  <a16:creationId xmlns:a16="http://schemas.microsoft.com/office/drawing/2014/main" id="{00000000-0008-0000-1900-000016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SUPERHEAT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37</xdr:row>
          <xdr:rowOff>69850</xdr:rowOff>
        </xdr:from>
        <xdr:to>
          <xdr:col>5</xdr:col>
          <xdr:colOff>622300</xdr:colOff>
          <xdr:row>38</xdr:row>
          <xdr:rowOff>69850</xdr:rowOff>
        </xdr:to>
        <xdr:sp macro="" textlink="">
          <xdr:nvSpPr>
            <xdr:cNvPr id="69655" name="Option Button 23" hidden="1">
              <a:extLst>
                <a:ext uri="{63B3BB69-23CF-44E3-9099-C40C66FF867C}">
                  <a14:compatExt spid="_x0000_s69655"/>
                </a:ext>
                <a:ext uri="{FF2B5EF4-FFF2-40B4-BE49-F238E27FC236}">
                  <a16:creationId xmlns:a16="http://schemas.microsoft.com/office/drawing/2014/main" id="{00000000-0008-0000-1900-00001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SUBCOOLING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36</xdr:row>
          <xdr:rowOff>266700</xdr:rowOff>
        </xdr:from>
        <xdr:to>
          <xdr:col>14</xdr:col>
          <xdr:colOff>850900</xdr:colOff>
          <xdr:row>39</xdr:row>
          <xdr:rowOff>50800</xdr:rowOff>
        </xdr:to>
        <xdr:sp macro="" textlink="">
          <xdr:nvSpPr>
            <xdr:cNvPr id="69657" name="Group Box 25" hidden="1">
              <a:extLst>
                <a:ext uri="{63B3BB69-23CF-44E3-9099-C40C66FF867C}">
                  <a14:compatExt spid="_x0000_s69657"/>
                </a:ext>
                <a:ext uri="{FF2B5EF4-FFF2-40B4-BE49-F238E27FC236}">
                  <a16:creationId xmlns:a16="http://schemas.microsoft.com/office/drawing/2014/main" id="{00000000-0008-0000-1900-000019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44</xdr:row>
          <xdr:rowOff>12700</xdr:rowOff>
        </xdr:from>
        <xdr:to>
          <xdr:col>2</xdr:col>
          <xdr:colOff>82550</xdr:colOff>
          <xdr:row>45</xdr:row>
          <xdr:rowOff>82550</xdr:rowOff>
        </xdr:to>
        <xdr:sp macro="" textlink="">
          <xdr:nvSpPr>
            <xdr:cNvPr id="69659" name="OptionButton10" hidden="1">
              <a:extLst>
                <a:ext uri="{63B3BB69-23CF-44E3-9099-C40C66FF867C}">
                  <a14:compatExt spid="_x0000_s69659"/>
                </a:ext>
                <a:ext uri="{FF2B5EF4-FFF2-40B4-BE49-F238E27FC236}">
                  <a16:creationId xmlns:a16="http://schemas.microsoft.com/office/drawing/2014/main" id="{00000000-0008-0000-1900-00001B1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571500</xdr:colOff>
          <xdr:row>42</xdr:row>
          <xdr:rowOff>209550</xdr:rowOff>
        </xdr:from>
        <xdr:to>
          <xdr:col>4</xdr:col>
          <xdr:colOff>260350</xdr:colOff>
          <xdr:row>46</xdr:row>
          <xdr:rowOff>12700</xdr:rowOff>
        </xdr:to>
        <xdr:sp macro="" textlink="">
          <xdr:nvSpPr>
            <xdr:cNvPr id="69661" name="Group Box 29" hidden="1">
              <a:extLst>
                <a:ext uri="{63B3BB69-23CF-44E3-9099-C40C66FF867C}">
                  <a14:compatExt spid="_x0000_s69661"/>
                </a:ext>
                <a:ext uri="{FF2B5EF4-FFF2-40B4-BE49-F238E27FC236}">
                  <a16:creationId xmlns:a16="http://schemas.microsoft.com/office/drawing/2014/main" id="{00000000-0008-0000-1900-00001D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122</xdr:row>
          <xdr:rowOff>0</xdr:rowOff>
        </xdr:from>
        <xdr:to>
          <xdr:col>14</xdr:col>
          <xdr:colOff>692150</xdr:colOff>
          <xdr:row>124</xdr:row>
          <xdr:rowOff>133350</xdr:rowOff>
        </xdr:to>
        <xdr:sp macro="" textlink="">
          <xdr:nvSpPr>
            <xdr:cNvPr id="69671" name="CommandButton1" hidden="1">
              <a:extLst>
                <a:ext uri="{63B3BB69-23CF-44E3-9099-C40C66FF867C}">
                  <a14:compatExt spid="_x0000_s69671"/>
                </a:ext>
                <a:ext uri="{FF2B5EF4-FFF2-40B4-BE49-F238E27FC236}">
                  <a16:creationId xmlns:a16="http://schemas.microsoft.com/office/drawing/2014/main" id="{00000000-0008-0000-1900-0000271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927100</xdr:colOff>
          <xdr:row>9</xdr:row>
          <xdr:rowOff>114300</xdr:rowOff>
        </xdr:from>
        <xdr:to>
          <xdr:col>3</xdr:col>
          <xdr:colOff>0</xdr:colOff>
          <xdr:row>10</xdr:row>
          <xdr:rowOff>0</xdr:rowOff>
        </xdr:to>
        <xdr:sp macro="" textlink="">
          <xdr:nvSpPr>
            <xdr:cNvPr id="69732" name="Check Box 100" hidden="1">
              <a:extLst>
                <a:ext uri="{63B3BB69-23CF-44E3-9099-C40C66FF867C}">
                  <a14:compatExt spid="_x0000_s69732"/>
                </a:ext>
                <a:ext uri="{FF2B5EF4-FFF2-40B4-BE49-F238E27FC236}">
                  <a16:creationId xmlns:a16="http://schemas.microsoft.com/office/drawing/2014/main" id="{00000000-0008-0000-1900-000064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1193800</xdr:colOff>
          <xdr:row>9</xdr:row>
          <xdr:rowOff>114300</xdr:rowOff>
        </xdr:from>
        <xdr:to>
          <xdr:col>2</xdr:col>
          <xdr:colOff>0</xdr:colOff>
          <xdr:row>10</xdr:row>
          <xdr:rowOff>0</xdr:rowOff>
        </xdr:to>
        <xdr:sp macro="" textlink="">
          <xdr:nvSpPr>
            <xdr:cNvPr id="69733" name="Check Box 101" hidden="1">
              <a:extLst>
                <a:ext uri="{63B3BB69-23CF-44E3-9099-C40C66FF867C}">
                  <a14:compatExt spid="_x0000_s69733"/>
                </a:ext>
                <a:ext uri="{FF2B5EF4-FFF2-40B4-BE49-F238E27FC236}">
                  <a16:creationId xmlns:a16="http://schemas.microsoft.com/office/drawing/2014/main" id="{00000000-0008-0000-1900-000065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946150</xdr:colOff>
          <xdr:row>9</xdr:row>
          <xdr:rowOff>114300</xdr:rowOff>
        </xdr:from>
        <xdr:to>
          <xdr:col>3</xdr:col>
          <xdr:colOff>1060450</xdr:colOff>
          <xdr:row>10</xdr:row>
          <xdr:rowOff>0</xdr:rowOff>
        </xdr:to>
        <xdr:sp macro="" textlink="">
          <xdr:nvSpPr>
            <xdr:cNvPr id="69734" name="Check Box 102" hidden="1">
              <a:extLst>
                <a:ext uri="{63B3BB69-23CF-44E3-9099-C40C66FF867C}">
                  <a14:compatExt spid="_x0000_s69734"/>
                </a:ext>
                <a:ext uri="{FF2B5EF4-FFF2-40B4-BE49-F238E27FC236}">
                  <a16:creationId xmlns:a16="http://schemas.microsoft.com/office/drawing/2014/main" id="{00000000-0008-0000-1900-000066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114300</xdr:rowOff>
        </xdr:from>
        <xdr:to>
          <xdr:col>3</xdr:col>
          <xdr:colOff>952500</xdr:colOff>
          <xdr:row>10</xdr:row>
          <xdr:rowOff>0</xdr:rowOff>
        </xdr:to>
        <xdr:sp macro="" textlink="">
          <xdr:nvSpPr>
            <xdr:cNvPr id="69735" name="Check Box 103" hidden="1">
              <a:extLst>
                <a:ext uri="{63B3BB69-23CF-44E3-9099-C40C66FF867C}">
                  <a14:compatExt spid="_x0000_s69735"/>
                </a:ext>
                <a:ext uri="{FF2B5EF4-FFF2-40B4-BE49-F238E27FC236}">
                  <a16:creationId xmlns:a16="http://schemas.microsoft.com/office/drawing/2014/main" id="{00000000-0008-0000-1900-00006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96</xdr:row>
          <xdr:rowOff>0</xdr:rowOff>
        </xdr:from>
        <xdr:to>
          <xdr:col>4</xdr:col>
          <xdr:colOff>260350</xdr:colOff>
          <xdr:row>100</xdr:row>
          <xdr:rowOff>146050</xdr:rowOff>
        </xdr:to>
        <xdr:sp macro="" textlink="">
          <xdr:nvSpPr>
            <xdr:cNvPr id="69736" name="Group Box 104" hidden="1">
              <a:extLst>
                <a:ext uri="{63B3BB69-23CF-44E3-9099-C40C66FF867C}">
                  <a14:compatExt spid="_x0000_s69736"/>
                </a:ext>
                <a:ext uri="{FF2B5EF4-FFF2-40B4-BE49-F238E27FC236}">
                  <a16:creationId xmlns:a16="http://schemas.microsoft.com/office/drawing/2014/main" id="{00000000-0008-0000-1900-000068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103</xdr:row>
          <xdr:rowOff>0</xdr:rowOff>
        </xdr:from>
        <xdr:to>
          <xdr:col>5</xdr:col>
          <xdr:colOff>50800</xdr:colOff>
          <xdr:row>104</xdr:row>
          <xdr:rowOff>50800</xdr:rowOff>
        </xdr:to>
        <xdr:sp macro="" textlink="">
          <xdr:nvSpPr>
            <xdr:cNvPr id="69737" name="Option Button 105" hidden="1">
              <a:extLst>
                <a:ext uri="{63B3BB69-23CF-44E3-9099-C40C66FF867C}">
                  <a14:compatExt spid="_x0000_s69737"/>
                </a:ext>
                <a:ext uri="{FF2B5EF4-FFF2-40B4-BE49-F238E27FC236}">
                  <a16:creationId xmlns:a16="http://schemas.microsoft.com/office/drawing/2014/main" id="{00000000-0008-0000-1900-00006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103</xdr:row>
          <xdr:rowOff>12700</xdr:rowOff>
        </xdr:from>
        <xdr:to>
          <xdr:col>6</xdr:col>
          <xdr:colOff>0</xdr:colOff>
          <xdr:row>104</xdr:row>
          <xdr:rowOff>12700</xdr:rowOff>
        </xdr:to>
        <xdr:sp macro="" textlink="">
          <xdr:nvSpPr>
            <xdr:cNvPr id="69738" name="Option Button 106" hidden="1">
              <a:extLst>
                <a:ext uri="{63B3BB69-23CF-44E3-9099-C40C66FF867C}">
                  <a14:compatExt spid="_x0000_s69738"/>
                </a:ext>
                <a:ext uri="{FF2B5EF4-FFF2-40B4-BE49-F238E27FC236}">
                  <a16:creationId xmlns:a16="http://schemas.microsoft.com/office/drawing/2014/main" id="{00000000-0008-0000-1900-00006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102</xdr:row>
          <xdr:rowOff>12700</xdr:rowOff>
        </xdr:from>
        <xdr:to>
          <xdr:col>6</xdr:col>
          <xdr:colOff>533400</xdr:colOff>
          <xdr:row>104</xdr:row>
          <xdr:rowOff>165100</xdr:rowOff>
        </xdr:to>
        <xdr:sp macro="" textlink="">
          <xdr:nvSpPr>
            <xdr:cNvPr id="69739" name="Group Box 107" hidden="1">
              <a:extLst>
                <a:ext uri="{63B3BB69-23CF-44E3-9099-C40C66FF867C}">
                  <a14:compatExt spid="_x0000_s69739"/>
                </a:ext>
                <a:ext uri="{FF2B5EF4-FFF2-40B4-BE49-F238E27FC236}">
                  <a16:creationId xmlns:a16="http://schemas.microsoft.com/office/drawing/2014/main" id="{00000000-0008-0000-1900-00006B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374650</xdr:colOff>
          <xdr:row>96</xdr:row>
          <xdr:rowOff>76200</xdr:rowOff>
        </xdr:from>
        <xdr:to>
          <xdr:col>4</xdr:col>
          <xdr:colOff>260350</xdr:colOff>
          <xdr:row>100</xdr:row>
          <xdr:rowOff>38100</xdr:rowOff>
        </xdr:to>
        <xdr:sp macro="" textlink="">
          <xdr:nvSpPr>
            <xdr:cNvPr id="69740" name="Group Box 108" hidden="1">
              <a:extLst>
                <a:ext uri="{63B3BB69-23CF-44E3-9099-C40C66FF867C}">
                  <a14:compatExt spid="_x0000_s69740"/>
                </a:ext>
                <a:ext uri="{FF2B5EF4-FFF2-40B4-BE49-F238E27FC236}">
                  <a16:creationId xmlns:a16="http://schemas.microsoft.com/office/drawing/2014/main" id="{00000000-0008-0000-1900-00006C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106</xdr:row>
          <xdr:rowOff>0</xdr:rowOff>
        </xdr:from>
        <xdr:to>
          <xdr:col>5</xdr:col>
          <xdr:colOff>50800</xdr:colOff>
          <xdr:row>107</xdr:row>
          <xdr:rowOff>50800</xdr:rowOff>
        </xdr:to>
        <xdr:sp macro="" textlink="">
          <xdr:nvSpPr>
            <xdr:cNvPr id="69741" name="Option Button 109" hidden="1">
              <a:extLst>
                <a:ext uri="{63B3BB69-23CF-44E3-9099-C40C66FF867C}">
                  <a14:compatExt spid="_x0000_s69741"/>
                </a:ext>
                <a:ext uri="{FF2B5EF4-FFF2-40B4-BE49-F238E27FC236}">
                  <a16:creationId xmlns:a16="http://schemas.microsoft.com/office/drawing/2014/main" id="{00000000-0008-0000-1900-00006D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106</xdr:row>
          <xdr:rowOff>12700</xdr:rowOff>
        </xdr:from>
        <xdr:to>
          <xdr:col>6</xdr:col>
          <xdr:colOff>0</xdr:colOff>
          <xdr:row>107</xdr:row>
          <xdr:rowOff>12700</xdr:rowOff>
        </xdr:to>
        <xdr:sp macro="" textlink="">
          <xdr:nvSpPr>
            <xdr:cNvPr id="69742" name="Option Button 110" hidden="1">
              <a:extLst>
                <a:ext uri="{63B3BB69-23CF-44E3-9099-C40C66FF867C}">
                  <a14:compatExt spid="_x0000_s69742"/>
                </a:ext>
                <a:ext uri="{FF2B5EF4-FFF2-40B4-BE49-F238E27FC236}">
                  <a16:creationId xmlns:a16="http://schemas.microsoft.com/office/drawing/2014/main" id="{00000000-0008-0000-1900-00006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105</xdr:row>
          <xdr:rowOff>69850</xdr:rowOff>
        </xdr:from>
        <xdr:to>
          <xdr:col>6</xdr:col>
          <xdr:colOff>323850</xdr:colOff>
          <xdr:row>108</xdr:row>
          <xdr:rowOff>50800</xdr:rowOff>
        </xdr:to>
        <xdr:sp macro="" textlink="">
          <xdr:nvSpPr>
            <xdr:cNvPr id="69743" name="Group Box 111" hidden="1">
              <a:extLst>
                <a:ext uri="{63B3BB69-23CF-44E3-9099-C40C66FF867C}">
                  <a14:compatExt spid="_x0000_s69743"/>
                </a:ext>
                <a:ext uri="{FF2B5EF4-FFF2-40B4-BE49-F238E27FC236}">
                  <a16:creationId xmlns:a16="http://schemas.microsoft.com/office/drawing/2014/main" id="{00000000-0008-0000-1900-00006F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42</a:t>
              </a:r>
            </a:p>
          </xdr:txBody>
        </xdr:sp>
        <xdr:clientData/>
      </xdr:twoCellAnchor>
    </mc:Choice>
    <mc:Fallback/>
  </mc:AlternateContent>
</xdr:wsDr>
</file>

<file path=xl/drawings/drawing23.xml><?xml version="1.0" encoding="utf-8"?>
<xdr:wsDr xmlns:xdr="http://schemas.openxmlformats.org/drawingml/2006/spreadsheetDrawing" xmlns:a="http://schemas.openxmlformats.org/drawingml/2006/main">
  <xdr:twoCellAnchor editAs="oneCell">
    <xdr:from>
      <xdr:col>10</xdr:col>
      <xdr:colOff>702027</xdr:colOff>
      <xdr:row>0</xdr:row>
      <xdr:rowOff>98778</xdr:rowOff>
    </xdr:from>
    <xdr:to>
      <xdr:col>14</xdr:col>
      <xdr:colOff>313972</xdr:colOff>
      <xdr:row>1</xdr:row>
      <xdr:rowOff>105128</xdr:rowOff>
    </xdr:to>
    <xdr:pic>
      <xdr:nvPicPr>
        <xdr:cNvPr id="68938" name="Picture 1">
          <a:extLst>
            <a:ext uri="{FF2B5EF4-FFF2-40B4-BE49-F238E27FC236}">
              <a16:creationId xmlns:a16="http://schemas.microsoft.com/office/drawing/2014/main" id="{00000000-0008-0000-1B00-00004A0D0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54583" y="98778"/>
          <a:ext cx="3096683" cy="69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1041400</xdr:colOff>
          <xdr:row>19</xdr:row>
          <xdr:rowOff>228600</xdr:rowOff>
        </xdr:from>
        <xdr:to>
          <xdr:col>6</xdr:col>
          <xdr:colOff>431800</xdr:colOff>
          <xdr:row>20</xdr:row>
          <xdr:rowOff>146050</xdr:rowOff>
        </xdr:to>
        <xdr:sp macro="" textlink="">
          <xdr:nvSpPr>
            <xdr:cNvPr id="68609" name="OptionButton1" hidden="1">
              <a:extLst>
                <a:ext uri="{63B3BB69-23CF-44E3-9099-C40C66FF867C}">
                  <a14:compatExt spid="_x0000_s68609"/>
                </a:ext>
                <a:ext uri="{FF2B5EF4-FFF2-40B4-BE49-F238E27FC236}">
                  <a16:creationId xmlns:a16="http://schemas.microsoft.com/office/drawing/2014/main" id="{00000000-0008-0000-1A00-0000010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222250</xdr:rowOff>
        </xdr:from>
        <xdr:to>
          <xdr:col>10</xdr:col>
          <xdr:colOff>266700</xdr:colOff>
          <xdr:row>20</xdr:row>
          <xdr:rowOff>215900</xdr:rowOff>
        </xdr:to>
        <xdr:sp macro="" textlink="">
          <xdr:nvSpPr>
            <xdr:cNvPr id="68610" name="OptionButton2" hidden="1">
              <a:extLst>
                <a:ext uri="{63B3BB69-23CF-44E3-9099-C40C66FF867C}">
                  <a14:compatExt spid="_x0000_s68610"/>
                </a:ext>
                <a:ext uri="{FF2B5EF4-FFF2-40B4-BE49-F238E27FC236}">
                  <a16:creationId xmlns:a16="http://schemas.microsoft.com/office/drawing/2014/main" id="{00000000-0008-0000-1A00-0000020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19</xdr:row>
          <xdr:rowOff>57150</xdr:rowOff>
        </xdr:from>
        <xdr:to>
          <xdr:col>7</xdr:col>
          <xdr:colOff>171450</xdr:colOff>
          <xdr:row>20</xdr:row>
          <xdr:rowOff>336550</xdr:rowOff>
        </xdr:to>
        <xdr:sp macro="" textlink="">
          <xdr:nvSpPr>
            <xdr:cNvPr id="68611" name="Group Box 3" hidden="1">
              <a:extLst>
                <a:ext uri="{63B3BB69-23CF-44E3-9099-C40C66FF867C}">
                  <a14:compatExt spid="_x0000_s68611"/>
                </a:ext>
                <a:ext uri="{FF2B5EF4-FFF2-40B4-BE49-F238E27FC236}">
                  <a16:creationId xmlns:a16="http://schemas.microsoft.com/office/drawing/2014/main" id="{00000000-0008-0000-1A00-000003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21</xdr:row>
          <xdr:rowOff>127000</xdr:rowOff>
        </xdr:from>
        <xdr:to>
          <xdr:col>9</xdr:col>
          <xdr:colOff>50800</xdr:colOff>
          <xdr:row>22</xdr:row>
          <xdr:rowOff>0</xdr:rowOff>
        </xdr:to>
        <xdr:sp macro="" textlink="">
          <xdr:nvSpPr>
            <xdr:cNvPr id="68612" name="Check Box 4" hidden="1">
              <a:extLst>
                <a:ext uri="{63B3BB69-23CF-44E3-9099-C40C66FF867C}">
                  <a14:compatExt spid="_x0000_s68612"/>
                </a:ext>
                <a:ext uri="{FF2B5EF4-FFF2-40B4-BE49-F238E27FC236}">
                  <a16:creationId xmlns:a16="http://schemas.microsoft.com/office/drawing/2014/main" id="{00000000-0008-0000-1A00-00000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Existing Ductwork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21</xdr:row>
          <xdr:rowOff>127000</xdr:rowOff>
        </xdr:from>
        <xdr:to>
          <xdr:col>10</xdr:col>
          <xdr:colOff>990600</xdr:colOff>
          <xdr:row>22</xdr:row>
          <xdr:rowOff>0</xdr:rowOff>
        </xdr:to>
        <xdr:sp macro="" textlink="">
          <xdr:nvSpPr>
            <xdr:cNvPr id="68613" name="Check Box 5" hidden="1">
              <a:extLst>
                <a:ext uri="{63B3BB69-23CF-44E3-9099-C40C66FF867C}">
                  <a14:compatExt spid="_x0000_s68613"/>
                </a:ext>
                <a:ext uri="{FF2B5EF4-FFF2-40B4-BE49-F238E27FC236}">
                  <a16:creationId xmlns:a16="http://schemas.microsoft.com/office/drawing/2014/main" id="{00000000-0008-0000-1A00-00000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Variable Speed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65</xdr:row>
          <xdr:rowOff>0</xdr:rowOff>
        </xdr:from>
        <xdr:to>
          <xdr:col>4</xdr:col>
          <xdr:colOff>336550</xdr:colOff>
          <xdr:row>69</xdr:row>
          <xdr:rowOff>95250</xdr:rowOff>
        </xdr:to>
        <xdr:sp macro="" textlink="">
          <xdr:nvSpPr>
            <xdr:cNvPr id="68617" name="Group Box 9" hidden="1">
              <a:extLst>
                <a:ext uri="{63B3BB69-23CF-44E3-9099-C40C66FF867C}">
                  <a14:compatExt spid="_x0000_s68617"/>
                </a:ext>
                <a:ext uri="{FF2B5EF4-FFF2-40B4-BE49-F238E27FC236}">
                  <a16:creationId xmlns:a16="http://schemas.microsoft.com/office/drawing/2014/main" id="{00000000-0008-0000-1A00-000009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65</xdr:row>
          <xdr:rowOff>0</xdr:rowOff>
        </xdr:from>
        <xdr:to>
          <xdr:col>5</xdr:col>
          <xdr:colOff>50800</xdr:colOff>
          <xdr:row>66</xdr:row>
          <xdr:rowOff>50800</xdr:rowOff>
        </xdr:to>
        <xdr:sp macro="" textlink="">
          <xdr:nvSpPr>
            <xdr:cNvPr id="68618" name="Option Button 10" hidden="1">
              <a:extLst>
                <a:ext uri="{63B3BB69-23CF-44E3-9099-C40C66FF867C}">
                  <a14:compatExt spid="_x0000_s68618"/>
                </a:ext>
                <a:ext uri="{FF2B5EF4-FFF2-40B4-BE49-F238E27FC236}">
                  <a16:creationId xmlns:a16="http://schemas.microsoft.com/office/drawing/2014/main" id="{00000000-0008-0000-1A00-00000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65</xdr:row>
          <xdr:rowOff>0</xdr:rowOff>
        </xdr:from>
        <xdr:to>
          <xdr:col>6</xdr:col>
          <xdr:colOff>0</xdr:colOff>
          <xdr:row>66</xdr:row>
          <xdr:rowOff>0</xdr:rowOff>
        </xdr:to>
        <xdr:sp macro="" textlink="">
          <xdr:nvSpPr>
            <xdr:cNvPr id="68619" name="Option Button 11" hidden="1">
              <a:extLst>
                <a:ext uri="{63B3BB69-23CF-44E3-9099-C40C66FF867C}">
                  <a14:compatExt spid="_x0000_s68619"/>
                </a:ext>
                <a:ext uri="{FF2B5EF4-FFF2-40B4-BE49-F238E27FC236}">
                  <a16:creationId xmlns:a16="http://schemas.microsoft.com/office/drawing/2014/main" id="{00000000-0008-0000-1A00-00000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65</xdr:row>
          <xdr:rowOff>0</xdr:rowOff>
        </xdr:from>
        <xdr:to>
          <xdr:col>6</xdr:col>
          <xdr:colOff>533400</xdr:colOff>
          <xdr:row>67</xdr:row>
          <xdr:rowOff>152400</xdr:rowOff>
        </xdr:to>
        <xdr:sp macro="" textlink="">
          <xdr:nvSpPr>
            <xdr:cNvPr id="68620" name="Group Box 12" hidden="1">
              <a:extLst>
                <a:ext uri="{63B3BB69-23CF-44E3-9099-C40C66FF867C}">
                  <a14:compatExt spid="_x0000_s68620"/>
                </a:ext>
                <a:ext uri="{FF2B5EF4-FFF2-40B4-BE49-F238E27FC236}">
                  <a16:creationId xmlns:a16="http://schemas.microsoft.com/office/drawing/2014/main" id="{00000000-0008-0000-1A00-00000C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374650</xdr:colOff>
          <xdr:row>65</xdr:row>
          <xdr:rowOff>0</xdr:rowOff>
        </xdr:from>
        <xdr:to>
          <xdr:col>4</xdr:col>
          <xdr:colOff>336550</xdr:colOff>
          <xdr:row>68</xdr:row>
          <xdr:rowOff>95250</xdr:rowOff>
        </xdr:to>
        <xdr:sp macro="" textlink="">
          <xdr:nvSpPr>
            <xdr:cNvPr id="68621" name="Group Box 13" hidden="1">
              <a:extLst>
                <a:ext uri="{63B3BB69-23CF-44E3-9099-C40C66FF867C}">
                  <a14:compatExt spid="_x0000_s68621"/>
                </a:ext>
                <a:ext uri="{FF2B5EF4-FFF2-40B4-BE49-F238E27FC236}">
                  <a16:creationId xmlns:a16="http://schemas.microsoft.com/office/drawing/2014/main" id="{00000000-0008-0000-1A00-00000D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65</xdr:row>
          <xdr:rowOff>0</xdr:rowOff>
        </xdr:from>
        <xdr:to>
          <xdr:col>5</xdr:col>
          <xdr:colOff>50800</xdr:colOff>
          <xdr:row>66</xdr:row>
          <xdr:rowOff>50800</xdr:rowOff>
        </xdr:to>
        <xdr:sp macro="" textlink="">
          <xdr:nvSpPr>
            <xdr:cNvPr id="68622" name="Option Button 14" hidden="1">
              <a:extLst>
                <a:ext uri="{63B3BB69-23CF-44E3-9099-C40C66FF867C}">
                  <a14:compatExt spid="_x0000_s68622"/>
                </a:ext>
                <a:ext uri="{FF2B5EF4-FFF2-40B4-BE49-F238E27FC236}">
                  <a16:creationId xmlns:a16="http://schemas.microsoft.com/office/drawing/2014/main" id="{00000000-0008-0000-1A00-00000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65</xdr:row>
          <xdr:rowOff>0</xdr:rowOff>
        </xdr:from>
        <xdr:to>
          <xdr:col>6</xdr:col>
          <xdr:colOff>0</xdr:colOff>
          <xdr:row>66</xdr:row>
          <xdr:rowOff>0</xdr:rowOff>
        </xdr:to>
        <xdr:sp macro="" textlink="">
          <xdr:nvSpPr>
            <xdr:cNvPr id="68623" name="Option Button 15" hidden="1">
              <a:extLst>
                <a:ext uri="{63B3BB69-23CF-44E3-9099-C40C66FF867C}">
                  <a14:compatExt spid="_x0000_s68623"/>
                </a:ext>
                <a:ext uri="{FF2B5EF4-FFF2-40B4-BE49-F238E27FC236}">
                  <a16:creationId xmlns:a16="http://schemas.microsoft.com/office/drawing/2014/main" id="{00000000-0008-0000-1A00-00000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65</xdr:row>
          <xdr:rowOff>0</xdr:rowOff>
        </xdr:from>
        <xdr:to>
          <xdr:col>6</xdr:col>
          <xdr:colOff>323850</xdr:colOff>
          <xdr:row>67</xdr:row>
          <xdr:rowOff>165100</xdr:rowOff>
        </xdr:to>
        <xdr:sp macro="" textlink="">
          <xdr:nvSpPr>
            <xdr:cNvPr id="68624" name="Group Box 16" hidden="1">
              <a:extLst>
                <a:ext uri="{63B3BB69-23CF-44E3-9099-C40C66FF867C}">
                  <a14:compatExt spid="_x0000_s68624"/>
                </a:ext>
                <a:ext uri="{FF2B5EF4-FFF2-40B4-BE49-F238E27FC236}">
                  <a16:creationId xmlns:a16="http://schemas.microsoft.com/office/drawing/2014/main" id="{00000000-0008-0000-1A00-000010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70</xdr:row>
          <xdr:rowOff>0</xdr:rowOff>
        </xdr:from>
        <xdr:to>
          <xdr:col>2</xdr:col>
          <xdr:colOff>95250</xdr:colOff>
          <xdr:row>71</xdr:row>
          <xdr:rowOff>69850</xdr:rowOff>
        </xdr:to>
        <xdr:sp macro="" textlink="">
          <xdr:nvSpPr>
            <xdr:cNvPr id="68626" name="OptionButton7" hidden="1">
              <a:extLst>
                <a:ext uri="{63B3BB69-23CF-44E3-9099-C40C66FF867C}">
                  <a14:compatExt spid="_x0000_s68626"/>
                </a:ext>
                <a:ext uri="{FF2B5EF4-FFF2-40B4-BE49-F238E27FC236}">
                  <a16:creationId xmlns:a16="http://schemas.microsoft.com/office/drawing/2014/main" id="{00000000-0008-0000-1A00-0000120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317500</xdr:colOff>
          <xdr:row>68</xdr:row>
          <xdr:rowOff>209550</xdr:rowOff>
        </xdr:from>
        <xdr:to>
          <xdr:col>4</xdr:col>
          <xdr:colOff>336550</xdr:colOff>
          <xdr:row>72</xdr:row>
          <xdr:rowOff>12700</xdr:rowOff>
        </xdr:to>
        <xdr:sp macro="" textlink="">
          <xdr:nvSpPr>
            <xdr:cNvPr id="68628" name="Group Box 20" hidden="1">
              <a:extLst>
                <a:ext uri="{63B3BB69-23CF-44E3-9099-C40C66FF867C}">
                  <a14:compatExt spid="_x0000_s68628"/>
                </a:ext>
                <a:ext uri="{FF2B5EF4-FFF2-40B4-BE49-F238E27FC236}">
                  <a16:creationId xmlns:a16="http://schemas.microsoft.com/office/drawing/2014/main" id="{00000000-0008-0000-1A00-000014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889000</xdr:colOff>
          <xdr:row>37</xdr:row>
          <xdr:rowOff>127000</xdr:rowOff>
        </xdr:from>
        <xdr:to>
          <xdr:col>3</xdr:col>
          <xdr:colOff>889000</xdr:colOff>
          <xdr:row>38</xdr:row>
          <xdr:rowOff>127000</xdr:rowOff>
        </xdr:to>
        <xdr:sp macro="" textlink="">
          <xdr:nvSpPr>
            <xdr:cNvPr id="68629" name="Option Button 21" hidden="1">
              <a:extLst>
                <a:ext uri="{63B3BB69-23CF-44E3-9099-C40C66FF867C}">
                  <a14:compatExt spid="_x0000_s68629"/>
                </a:ext>
                <a:ext uri="{FF2B5EF4-FFF2-40B4-BE49-F238E27FC236}">
                  <a16:creationId xmlns:a16="http://schemas.microsoft.com/office/drawing/2014/main" id="{00000000-0008-0000-1A00-00001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WEIGH 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831850</xdr:colOff>
          <xdr:row>37</xdr:row>
          <xdr:rowOff>69850</xdr:rowOff>
        </xdr:from>
        <xdr:to>
          <xdr:col>4</xdr:col>
          <xdr:colOff>12700</xdr:colOff>
          <xdr:row>38</xdr:row>
          <xdr:rowOff>69850</xdr:rowOff>
        </xdr:to>
        <xdr:sp macro="" textlink="">
          <xdr:nvSpPr>
            <xdr:cNvPr id="68630" name="Option Button 22" hidden="1">
              <a:extLst>
                <a:ext uri="{63B3BB69-23CF-44E3-9099-C40C66FF867C}">
                  <a14:compatExt spid="_x0000_s68630"/>
                </a:ext>
                <a:ext uri="{FF2B5EF4-FFF2-40B4-BE49-F238E27FC236}">
                  <a16:creationId xmlns:a16="http://schemas.microsoft.com/office/drawing/2014/main" id="{00000000-0008-0000-1A00-00001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SUPERHEAT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37</xdr:row>
          <xdr:rowOff>69850</xdr:rowOff>
        </xdr:from>
        <xdr:to>
          <xdr:col>5</xdr:col>
          <xdr:colOff>476250</xdr:colOff>
          <xdr:row>38</xdr:row>
          <xdr:rowOff>69850</xdr:rowOff>
        </xdr:to>
        <xdr:sp macro="" textlink="">
          <xdr:nvSpPr>
            <xdr:cNvPr id="68631" name="Option Button 23" hidden="1">
              <a:extLst>
                <a:ext uri="{63B3BB69-23CF-44E3-9099-C40C66FF867C}">
                  <a14:compatExt spid="_x0000_s68631"/>
                </a:ext>
                <a:ext uri="{FF2B5EF4-FFF2-40B4-BE49-F238E27FC236}">
                  <a16:creationId xmlns:a16="http://schemas.microsoft.com/office/drawing/2014/main" id="{00000000-0008-0000-1A00-00001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SUBCOOLING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36</xdr:row>
          <xdr:rowOff>266700</xdr:rowOff>
        </xdr:from>
        <xdr:to>
          <xdr:col>14</xdr:col>
          <xdr:colOff>927100</xdr:colOff>
          <xdr:row>39</xdr:row>
          <xdr:rowOff>50800</xdr:rowOff>
        </xdr:to>
        <xdr:sp macro="" textlink="">
          <xdr:nvSpPr>
            <xdr:cNvPr id="68633" name="Group Box 25" hidden="1">
              <a:extLst>
                <a:ext uri="{63B3BB69-23CF-44E3-9099-C40C66FF867C}">
                  <a14:compatExt spid="_x0000_s68633"/>
                </a:ext>
                <a:ext uri="{FF2B5EF4-FFF2-40B4-BE49-F238E27FC236}">
                  <a16:creationId xmlns:a16="http://schemas.microsoft.com/office/drawing/2014/main" id="{00000000-0008-0000-1A00-000019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44</xdr:row>
          <xdr:rowOff>0</xdr:rowOff>
        </xdr:from>
        <xdr:to>
          <xdr:col>2</xdr:col>
          <xdr:colOff>101600</xdr:colOff>
          <xdr:row>45</xdr:row>
          <xdr:rowOff>69850</xdr:rowOff>
        </xdr:to>
        <xdr:sp macro="" textlink="">
          <xdr:nvSpPr>
            <xdr:cNvPr id="68635" name="OptionButton10" hidden="1">
              <a:extLst>
                <a:ext uri="{63B3BB69-23CF-44E3-9099-C40C66FF867C}">
                  <a14:compatExt spid="_x0000_s68635"/>
                </a:ext>
                <a:ext uri="{FF2B5EF4-FFF2-40B4-BE49-F238E27FC236}">
                  <a16:creationId xmlns:a16="http://schemas.microsoft.com/office/drawing/2014/main" id="{00000000-0008-0000-1A00-00001B0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571500</xdr:colOff>
          <xdr:row>42</xdr:row>
          <xdr:rowOff>209550</xdr:rowOff>
        </xdr:from>
        <xdr:to>
          <xdr:col>4</xdr:col>
          <xdr:colOff>336550</xdr:colOff>
          <xdr:row>46</xdr:row>
          <xdr:rowOff>12700</xdr:rowOff>
        </xdr:to>
        <xdr:sp macro="" textlink="">
          <xdr:nvSpPr>
            <xdr:cNvPr id="68637" name="Group Box 29" hidden="1">
              <a:extLst>
                <a:ext uri="{63B3BB69-23CF-44E3-9099-C40C66FF867C}">
                  <a14:compatExt spid="_x0000_s68637"/>
                </a:ext>
                <a:ext uri="{FF2B5EF4-FFF2-40B4-BE49-F238E27FC236}">
                  <a16:creationId xmlns:a16="http://schemas.microsoft.com/office/drawing/2014/main" id="{00000000-0008-0000-1A00-00001D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119</xdr:row>
          <xdr:rowOff>114300</xdr:rowOff>
        </xdr:from>
        <xdr:to>
          <xdr:col>14</xdr:col>
          <xdr:colOff>533400</xdr:colOff>
          <xdr:row>122</xdr:row>
          <xdr:rowOff>101600</xdr:rowOff>
        </xdr:to>
        <xdr:sp macro="" textlink="">
          <xdr:nvSpPr>
            <xdr:cNvPr id="68648" name="CommandButton1" hidden="1">
              <a:extLst>
                <a:ext uri="{63B3BB69-23CF-44E3-9099-C40C66FF867C}">
                  <a14:compatExt spid="_x0000_s68648"/>
                </a:ext>
                <a:ext uri="{FF2B5EF4-FFF2-40B4-BE49-F238E27FC236}">
                  <a16:creationId xmlns:a16="http://schemas.microsoft.com/office/drawing/2014/main" id="{00000000-0008-0000-1A00-0000280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927100</xdr:colOff>
          <xdr:row>9</xdr:row>
          <xdr:rowOff>114300</xdr:rowOff>
        </xdr:from>
        <xdr:to>
          <xdr:col>3</xdr:col>
          <xdr:colOff>0</xdr:colOff>
          <xdr:row>10</xdr:row>
          <xdr:rowOff>0</xdr:rowOff>
        </xdr:to>
        <xdr:sp macro="" textlink="">
          <xdr:nvSpPr>
            <xdr:cNvPr id="68710" name="Check Box 102" hidden="1">
              <a:extLst>
                <a:ext uri="{63B3BB69-23CF-44E3-9099-C40C66FF867C}">
                  <a14:compatExt spid="_x0000_s68710"/>
                </a:ext>
                <a:ext uri="{FF2B5EF4-FFF2-40B4-BE49-F238E27FC236}">
                  <a16:creationId xmlns:a16="http://schemas.microsoft.com/office/drawing/2014/main" id="{00000000-0008-0000-1A00-00006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114300</xdr:rowOff>
        </xdr:from>
        <xdr:to>
          <xdr:col>1</xdr:col>
          <xdr:colOff>450850</xdr:colOff>
          <xdr:row>10</xdr:row>
          <xdr:rowOff>0</xdr:rowOff>
        </xdr:to>
        <xdr:sp macro="" textlink="">
          <xdr:nvSpPr>
            <xdr:cNvPr id="68712" name="Check Box 104" hidden="1">
              <a:extLst>
                <a:ext uri="{63B3BB69-23CF-44E3-9099-C40C66FF867C}">
                  <a14:compatExt spid="_x0000_s68712"/>
                </a:ext>
                <a:ext uri="{FF2B5EF4-FFF2-40B4-BE49-F238E27FC236}">
                  <a16:creationId xmlns:a16="http://schemas.microsoft.com/office/drawing/2014/main" id="{00000000-0008-0000-1A00-00006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1009650</xdr:colOff>
          <xdr:row>9</xdr:row>
          <xdr:rowOff>95250</xdr:rowOff>
        </xdr:from>
        <xdr:to>
          <xdr:col>5</xdr:col>
          <xdr:colOff>146050</xdr:colOff>
          <xdr:row>10</xdr:row>
          <xdr:rowOff>0</xdr:rowOff>
        </xdr:to>
        <xdr:sp macro="" textlink="">
          <xdr:nvSpPr>
            <xdr:cNvPr id="68713" name="Check Box 105" hidden="1">
              <a:extLst>
                <a:ext uri="{63B3BB69-23CF-44E3-9099-C40C66FF867C}">
                  <a14:compatExt spid="_x0000_s68713"/>
                </a:ext>
                <a:ext uri="{FF2B5EF4-FFF2-40B4-BE49-F238E27FC236}">
                  <a16:creationId xmlns:a16="http://schemas.microsoft.com/office/drawing/2014/main" id="{00000000-0008-0000-1A00-00006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9</xdr:row>
          <xdr:rowOff>114300</xdr:rowOff>
        </xdr:from>
        <xdr:to>
          <xdr:col>3</xdr:col>
          <xdr:colOff>1028700</xdr:colOff>
          <xdr:row>10</xdr:row>
          <xdr:rowOff>0</xdr:rowOff>
        </xdr:to>
        <xdr:sp macro="" textlink="">
          <xdr:nvSpPr>
            <xdr:cNvPr id="68714" name="Check Box 106" hidden="1">
              <a:extLst>
                <a:ext uri="{63B3BB69-23CF-44E3-9099-C40C66FF867C}">
                  <a14:compatExt spid="_x0000_s68714"/>
                </a:ext>
                <a:ext uri="{FF2B5EF4-FFF2-40B4-BE49-F238E27FC236}">
                  <a16:creationId xmlns:a16="http://schemas.microsoft.com/office/drawing/2014/main" id="{00000000-0008-0000-1A00-00006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96</xdr:row>
          <xdr:rowOff>0</xdr:rowOff>
        </xdr:from>
        <xdr:to>
          <xdr:col>4</xdr:col>
          <xdr:colOff>336550</xdr:colOff>
          <xdr:row>100</xdr:row>
          <xdr:rowOff>146050</xdr:rowOff>
        </xdr:to>
        <xdr:sp macro="" textlink="">
          <xdr:nvSpPr>
            <xdr:cNvPr id="68715" name="Group Box 107" hidden="1">
              <a:extLst>
                <a:ext uri="{63B3BB69-23CF-44E3-9099-C40C66FF867C}">
                  <a14:compatExt spid="_x0000_s68715"/>
                </a:ext>
                <a:ext uri="{FF2B5EF4-FFF2-40B4-BE49-F238E27FC236}">
                  <a16:creationId xmlns:a16="http://schemas.microsoft.com/office/drawing/2014/main" id="{00000000-0008-0000-1A00-00006B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103</xdr:row>
          <xdr:rowOff>0</xdr:rowOff>
        </xdr:from>
        <xdr:to>
          <xdr:col>5</xdr:col>
          <xdr:colOff>50800</xdr:colOff>
          <xdr:row>104</xdr:row>
          <xdr:rowOff>50800</xdr:rowOff>
        </xdr:to>
        <xdr:sp macro="" textlink="">
          <xdr:nvSpPr>
            <xdr:cNvPr id="68716" name="Option Button 108" hidden="1">
              <a:extLst>
                <a:ext uri="{63B3BB69-23CF-44E3-9099-C40C66FF867C}">
                  <a14:compatExt spid="_x0000_s68716"/>
                </a:ext>
                <a:ext uri="{FF2B5EF4-FFF2-40B4-BE49-F238E27FC236}">
                  <a16:creationId xmlns:a16="http://schemas.microsoft.com/office/drawing/2014/main" id="{00000000-0008-0000-1A00-00006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103</xdr:row>
          <xdr:rowOff>12700</xdr:rowOff>
        </xdr:from>
        <xdr:to>
          <xdr:col>6</xdr:col>
          <xdr:colOff>0</xdr:colOff>
          <xdr:row>104</xdr:row>
          <xdr:rowOff>12700</xdr:rowOff>
        </xdr:to>
        <xdr:sp macro="" textlink="">
          <xdr:nvSpPr>
            <xdr:cNvPr id="68717" name="Option Button 109" hidden="1">
              <a:extLst>
                <a:ext uri="{63B3BB69-23CF-44E3-9099-C40C66FF867C}">
                  <a14:compatExt spid="_x0000_s68717"/>
                </a:ext>
                <a:ext uri="{FF2B5EF4-FFF2-40B4-BE49-F238E27FC236}">
                  <a16:creationId xmlns:a16="http://schemas.microsoft.com/office/drawing/2014/main" id="{00000000-0008-0000-1A00-00006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102</xdr:row>
          <xdr:rowOff>12700</xdr:rowOff>
        </xdr:from>
        <xdr:to>
          <xdr:col>6</xdr:col>
          <xdr:colOff>533400</xdr:colOff>
          <xdr:row>104</xdr:row>
          <xdr:rowOff>165100</xdr:rowOff>
        </xdr:to>
        <xdr:sp macro="" textlink="">
          <xdr:nvSpPr>
            <xdr:cNvPr id="68718" name="Group Box 110" hidden="1">
              <a:extLst>
                <a:ext uri="{63B3BB69-23CF-44E3-9099-C40C66FF867C}">
                  <a14:compatExt spid="_x0000_s68718"/>
                </a:ext>
                <a:ext uri="{FF2B5EF4-FFF2-40B4-BE49-F238E27FC236}">
                  <a16:creationId xmlns:a16="http://schemas.microsoft.com/office/drawing/2014/main" id="{00000000-0008-0000-1A00-00006E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374650</xdr:colOff>
          <xdr:row>96</xdr:row>
          <xdr:rowOff>76200</xdr:rowOff>
        </xdr:from>
        <xdr:to>
          <xdr:col>4</xdr:col>
          <xdr:colOff>336550</xdr:colOff>
          <xdr:row>100</xdr:row>
          <xdr:rowOff>38100</xdr:rowOff>
        </xdr:to>
        <xdr:sp macro="" textlink="">
          <xdr:nvSpPr>
            <xdr:cNvPr id="68719" name="Group Box 111" hidden="1">
              <a:extLst>
                <a:ext uri="{63B3BB69-23CF-44E3-9099-C40C66FF867C}">
                  <a14:compatExt spid="_x0000_s68719"/>
                </a:ext>
                <a:ext uri="{FF2B5EF4-FFF2-40B4-BE49-F238E27FC236}">
                  <a16:creationId xmlns:a16="http://schemas.microsoft.com/office/drawing/2014/main" id="{00000000-0008-0000-1A00-00006F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106</xdr:row>
          <xdr:rowOff>0</xdr:rowOff>
        </xdr:from>
        <xdr:to>
          <xdr:col>5</xdr:col>
          <xdr:colOff>50800</xdr:colOff>
          <xdr:row>107</xdr:row>
          <xdr:rowOff>50800</xdr:rowOff>
        </xdr:to>
        <xdr:sp macro="" textlink="">
          <xdr:nvSpPr>
            <xdr:cNvPr id="68720" name="Option Button 112" hidden="1">
              <a:extLst>
                <a:ext uri="{63B3BB69-23CF-44E3-9099-C40C66FF867C}">
                  <a14:compatExt spid="_x0000_s68720"/>
                </a:ext>
                <a:ext uri="{FF2B5EF4-FFF2-40B4-BE49-F238E27FC236}">
                  <a16:creationId xmlns:a16="http://schemas.microsoft.com/office/drawing/2014/main" id="{00000000-0008-0000-1A00-00007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106</xdr:row>
          <xdr:rowOff>12700</xdr:rowOff>
        </xdr:from>
        <xdr:to>
          <xdr:col>6</xdr:col>
          <xdr:colOff>0</xdr:colOff>
          <xdr:row>107</xdr:row>
          <xdr:rowOff>12700</xdr:rowOff>
        </xdr:to>
        <xdr:sp macro="" textlink="">
          <xdr:nvSpPr>
            <xdr:cNvPr id="68721" name="Option Button 113" hidden="1">
              <a:extLst>
                <a:ext uri="{63B3BB69-23CF-44E3-9099-C40C66FF867C}">
                  <a14:compatExt spid="_x0000_s68721"/>
                </a:ext>
                <a:ext uri="{FF2B5EF4-FFF2-40B4-BE49-F238E27FC236}">
                  <a16:creationId xmlns:a16="http://schemas.microsoft.com/office/drawing/2014/main" id="{00000000-0008-0000-1A00-00007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105</xdr:row>
          <xdr:rowOff>69850</xdr:rowOff>
        </xdr:from>
        <xdr:to>
          <xdr:col>6</xdr:col>
          <xdr:colOff>323850</xdr:colOff>
          <xdr:row>108</xdr:row>
          <xdr:rowOff>50800</xdr:rowOff>
        </xdr:to>
        <xdr:sp macro="" textlink="">
          <xdr:nvSpPr>
            <xdr:cNvPr id="68722" name="Group Box 114" hidden="1">
              <a:extLst>
                <a:ext uri="{63B3BB69-23CF-44E3-9099-C40C66FF867C}">
                  <a14:compatExt spid="_x0000_s68722"/>
                </a:ext>
                <a:ext uri="{FF2B5EF4-FFF2-40B4-BE49-F238E27FC236}">
                  <a16:creationId xmlns:a16="http://schemas.microsoft.com/office/drawing/2014/main" id="{00000000-0008-0000-1A00-000072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42</a:t>
              </a:r>
            </a:p>
          </xdr:txBody>
        </xdr:sp>
        <xdr:clientData/>
      </xdr:twoCellAnchor>
    </mc:Choice>
    <mc:Fallback/>
  </mc:AlternateContent>
</xdr:wsDr>
</file>

<file path=xl/drawings/drawing24.xml><?xml version="1.0" encoding="utf-8"?>
<xdr:wsDr xmlns:xdr="http://schemas.openxmlformats.org/drawingml/2006/spreadsheetDrawing" xmlns:a="http://schemas.openxmlformats.org/drawingml/2006/main">
  <xdr:twoCellAnchor editAs="oneCell">
    <xdr:from>
      <xdr:col>10</xdr:col>
      <xdr:colOff>906639</xdr:colOff>
      <xdr:row>0</xdr:row>
      <xdr:rowOff>28222</xdr:rowOff>
    </xdr:from>
    <xdr:to>
      <xdr:col>14</xdr:col>
      <xdr:colOff>521759</xdr:colOff>
      <xdr:row>1</xdr:row>
      <xdr:rowOff>31397</xdr:rowOff>
    </xdr:to>
    <xdr:pic>
      <xdr:nvPicPr>
        <xdr:cNvPr id="67908" name="Picture 1">
          <a:extLst>
            <a:ext uri="{FF2B5EF4-FFF2-40B4-BE49-F238E27FC236}">
              <a16:creationId xmlns:a16="http://schemas.microsoft.com/office/drawing/2014/main" id="{00000000-0008-0000-1C00-000044090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59195" y="28222"/>
          <a:ext cx="3096683" cy="69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698500</xdr:colOff>
          <xdr:row>19</xdr:row>
          <xdr:rowOff>279400</xdr:rowOff>
        </xdr:from>
        <xdr:to>
          <xdr:col>5</xdr:col>
          <xdr:colOff>755650</xdr:colOff>
          <xdr:row>20</xdr:row>
          <xdr:rowOff>146050</xdr:rowOff>
        </xdr:to>
        <xdr:sp macro="" textlink="">
          <xdr:nvSpPr>
            <xdr:cNvPr id="67585" name="OptionButton1" hidden="1">
              <a:extLst>
                <a:ext uri="{63B3BB69-23CF-44E3-9099-C40C66FF867C}">
                  <a14:compatExt spid="_x0000_s67585"/>
                </a:ext>
                <a:ext uri="{FF2B5EF4-FFF2-40B4-BE49-F238E27FC236}">
                  <a16:creationId xmlns:a16="http://schemas.microsoft.com/office/drawing/2014/main" id="{00000000-0008-0000-1B00-0000010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19</xdr:row>
          <xdr:rowOff>266700</xdr:rowOff>
        </xdr:from>
        <xdr:to>
          <xdr:col>10</xdr:col>
          <xdr:colOff>0</xdr:colOff>
          <xdr:row>20</xdr:row>
          <xdr:rowOff>241300</xdr:rowOff>
        </xdr:to>
        <xdr:sp macro="" textlink="">
          <xdr:nvSpPr>
            <xdr:cNvPr id="67586" name="OptionButton2" hidden="1">
              <a:extLst>
                <a:ext uri="{63B3BB69-23CF-44E3-9099-C40C66FF867C}">
                  <a14:compatExt spid="_x0000_s67586"/>
                </a:ext>
                <a:ext uri="{FF2B5EF4-FFF2-40B4-BE49-F238E27FC236}">
                  <a16:creationId xmlns:a16="http://schemas.microsoft.com/office/drawing/2014/main" id="{00000000-0008-0000-1B00-0000020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19</xdr:row>
          <xdr:rowOff>57150</xdr:rowOff>
        </xdr:from>
        <xdr:to>
          <xdr:col>6</xdr:col>
          <xdr:colOff>717550</xdr:colOff>
          <xdr:row>20</xdr:row>
          <xdr:rowOff>336550</xdr:rowOff>
        </xdr:to>
        <xdr:sp macro="" textlink="">
          <xdr:nvSpPr>
            <xdr:cNvPr id="67587" name="Group Box 3" hidden="1">
              <a:extLst>
                <a:ext uri="{63B3BB69-23CF-44E3-9099-C40C66FF867C}">
                  <a14:compatExt spid="_x0000_s67587"/>
                </a:ext>
                <a:ext uri="{FF2B5EF4-FFF2-40B4-BE49-F238E27FC236}">
                  <a16:creationId xmlns:a16="http://schemas.microsoft.com/office/drawing/2014/main" id="{00000000-0008-0000-1B00-0000030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21</xdr:row>
          <xdr:rowOff>146050</xdr:rowOff>
        </xdr:from>
        <xdr:to>
          <xdr:col>9</xdr:col>
          <xdr:colOff>50800</xdr:colOff>
          <xdr:row>22</xdr:row>
          <xdr:rowOff>0</xdr:rowOff>
        </xdr:to>
        <xdr:sp macro="" textlink="">
          <xdr:nvSpPr>
            <xdr:cNvPr id="67588" name="Check Box 4" hidden="1">
              <a:extLst>
                <a:ext uri="{63B3BB69-23CF-44E3-9099-C40C66FF867C}">
                  <a14:compatExt spid="_x0000_s67588"/>
                </a:ext>
                <a:ext uri="{FF2B5EF4-FFF2-40B4-BE49-F238E27FC236}">
                  <a16:creationId xmlns:a16="http://schemas.microsoft.com/office/drawing/2014/main" id="{00000000-0008-0000-1B00-00000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Existing Ductwork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21</xdr:row>
          <xdr:rowOff>146050</xdr:rowOff>
        </xdr:from>
        <xdr:to>
          <xdr:col>10</xdr:col>
          <xdr:colOff>990600</xdr:colOff>
          <xdr:row>22</xdr:row>
          <xdr:rowOff>0</xdr:rowOff>
        </xdr:to>
        <xdr:sp macro="" textlink="">
          <xdr:nvSpPr>
            <xdr:cNvPr id="67589" name="Check Box 5" hidden="1">
              <a:extLst>
                <a:ext uri="{63B3BB69-23CF-44E3-9099-C40C66FF867C}">
                  <a14:compatExt spid="_x0000_s67589"/>
                </a:ext>
                <a:ext uri="{FF2B5EF4-FFF2-40B4-BE49-F238E27FC236}">
                  <a16:creationId xmlns:a16="http://schemas.microsoft.com/office/drawing/2014/main" id="{00000000-0008-0000-1B00-000005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Variable Speed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65</xdr:row>
          <xdr:rowOff>0</xdr:rowOff>
        </xdr:from>
        <xdr:to>
          <xdr:col>4</xdr:col>
          <xdr:colOff>76200</xdr:colOff>
          <xdr:row>69</xdr:row>
          <xdr:rowOff>95250</xdr:rowOff>
        </xdr:to>
        <xdr:sp macro="" textlink="">
          <xdr:nvSpPr>
            <xdr:cNvPr id="67593" name="Group Box 9" hidden="1">
              <a:extLst>
                <a:ext uri="{63B3BB69-23CF-44E3-9099-C40C66FF867C}">
                  <a14:compatExt spid="_x0000_s67593"/>
                </a:ext>
                <a:ext uri="{FF2B5EF4-FFF2-40B4-BE49-F238E27FC236}">
                  <a16:creationId xmlns:a16="http://schemas.microsoft.com/office/drawing/2014/main" id="{00000000-0008-0000-1B00-0000090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65</xdr:row>
          <xdr:rowOff>0</xdr:rowOff>
        </xdr:from>
        <xdr:to>
          <xdr:col>5</xdr:col>
          <xdr:colOff>50800</xdr:colOff>
          <xdr:row>66</xdr:row>
          <xdr:rowOff>50800</xdr:rowOff>
        </xdr:to>
        <xdr:sp macro="" textlink="">
          <xdr:nvSpPr>
            <xdr:cNvPr id="67594" name="Option Button 10" hidden="1">
              <a:extLst>
                <a:ext uri="{63B3BB69-23CF-44E3-9099-C40C66FF867C}">
                  <a14:compatExt spid="_x0000_s67594"/>
                </a:ext>
                <a:ext uri="{FF2B5EF4-FFF2-40B4-BE49-F238E27FC236}">
                  <a16:creationId xmlns:a16="http://schemas.microsoft.com/office/drawing/2014/main" id="{00000000-0008-0000-1B00-00000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65</xdr:row>
          <xdr:rowOff>0</xdr:rowOff>
        </xdr:from>
        <xdr:to>
          <xdr:col>6</xdr:col>
          <xdr:colOff>0</xdr:colOff>
          <xdr:row>66</xdr:row>
          <xdr:rowOff>0</xdr:rowOff>
        </xdr:to>
        <xdr:sp macro="" textlink="">
          <xdr:nvSpPr>
            <xdr:cNvPr id="67595" name="Option Button 11" hidden="1">
              <a:extLst>
                <a:ext uri="{63B3BB69-23CF-44E3-9099-C40C66FF867C}">
                  <a14:compatExt spid="_x0000_s67595"/>
                </a:ext>
                <a:ext uri="{FF2B5EF4-FFF2-40B4-BE49-F238E27FC236}">
                  <a16:creationId xmlns:a16="http://schemas.microsoft.com/office/drawing/2014/main" id="{00000000-0008-0000-1B00-00000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65</xdr:row>
          <xdr:rowOff>0</xdr:rowOff>
        </xdr:from>
        <xdr:to>
          <xdr:col>6</xdr:col>
          <xdr:colOff>533400</xdr:colOff>
          <xdr:row>67</xdr:row>
          <xdr:rowOff>152400</xdr:rowOff>
        </xdr:to>
        <xdr:sp macro="" textlink="">
          <xdr:nvSpPr>
            <xdr:cNvPr id="67596" name="Group Box 12" hidden="1">
              <a:extLst>
                <a:ext uri="{63B3BB69-23CF-44E3-9099-C40C66FF867C}">
                  <a14:compatExt spid="_x0000_s67596"/>
                </a:ext>
                <a:ext uri="{FF2B5EF4-FFF2-40B4-BE49-F238E27FC236}">
                  <a16:creationId xmlns:a16="http://schemas.microsoft.com/office/drawing/2014/main" id="{00000000-0008-0000-1B00-00000C0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374650</xdr:colOff>
          <xdr:row>65</xdr:row>
          <xdr:rowOff>0</xdr:rowOff>
        </xdr:from>
        <xdr:to>
          <xdr:col>4</xdr:col>
          <xdr:colOff>76200</xdr:colOff>
          <xdr:row>68</xdr:row>
          <xdr:rowOff>95250</xdr:rowOff>
        </xdr:to>
        <xdr:sp macro="" textlink="">
          <xdr:nvSpPr>
            <xdr:cNvPr id="67597" name="Group Box 13" hidden="1">
              <a:extLst>
                <a:ext uri="{63B3BB69-23CF-44E3-9099-C40C66FF867C}">
                  <a14:compatExt spid="_x0000_s67597"/>
                </a:ext>
                <a:ext uri="{FF2B5EF4-FFF2-40B4-BE49-F238E27FC236}">
                  <a16:creationId xmlns:a16="http://schemas.microsoft.com/office/drawing/2014/main" id="{00000000-0008-0000-1B00-00000D0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65</xdr:row>
          <xdr:rowOff>0</xdr:rowOff>
        </xdr:from>
        <xdr:to>
          <xdr:col>5</xdr:col>
          <xdr:colOff>50800</xdr:colOff>
          <xdr:row>66</xdr:row>
          <xdr:rowOff>50800</xdr:rowOff>
        </xdr:to>
        <xdr:sp macro="" textlink="">
          <xdr:nvSpPr>
            <xdr:cNvPr id="67598" name="Option Button 14" hidden="1">
              <a:extLst>
                <a:ext uri="{63B3BB69-23CF-44E3-9099-C40C66FF867C}">
                  <a14:compatExt spid="_x0000_s67598"/>
                </a:ext>
                <a:ext uri="{FF2B5EF4-FFF2-40B4-BE49-F238E27FC236}">
                  <a16:creationId xmlns:a16="http://schemas.microsoft.com/office/drawing/2014/main" id="{00000000-0008-0000-1B00-00000E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65</xdr:row>
          <xdr:rowOff>0</xdr:rowOff>
        </xdr:from>
        <xdr:to>
          <xdr:col>6</xdr:col>
          <xdr:colOff>0</xdr:colOff>
          <xdr:row>66</xdr:row>
          <xdr:rowOff>0</xdr:rowOff>
        </xdr:to>
        <xdr:sp macro="" textlink="">
          <xdr:nvSpPr>
            <xdr:cNvPr id="67599" name="Option Button 15" hidden="1">
              <a:extLst>
                <a:ext uri="{63B3BB69-23CF-44E3-9099-C40C66FF867C}">
                  <a14:compatExt spid="_x0000_s67599"/>
                </a:ext>
                <a:ext uri="{FF2B5EF4-FFF2-40B4-BE49-F238E27FC236}">
                  <a16:creationId xmlns:a16="http://schemas.microsoft.com/office/drawing/2014/main" id="{00000000-0008-0000-1B00-00000F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65</xdr:row>
          <xdr:rowOff>0</xdr:rowOff>
        </xdr:from>
        <xdr:to>
          <xdr:col>6</xdr:col>
          <xdr:colOff>323850</xdr:colOff>
          <xdr:row>67</xdr:row>
          <xdr:rowOff>165100</xdr:rowOff>
        </xdr:to>
        <xdr:sp macro="" textlink="">
          <xdr:nvSpPr>
            <xdr:cNvPr id="67600" name="Group Box 16" hidden="1">
              <a:extLst>
                <a:ext uri="{63B3BB69-23CF-44E3-9099-C40C66FF867C}">
                  <a14:compatExt spid="_x0000_s67600"/>
                </a:ext>
                <a:ext uri="{FF2B5EF4-FFF2-40B4-BE49-F238E27FC236}">
                  <a16:creationId xmlns:a16="http://schemas.microsoft.com/office/drawing/2014/main" id="{00000000-0008-0000-1B00-0000100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70</xdr:row>
          <xdr:rowOff>0</xdr:rowOff>
        </xdr:from>
        <xdr:to>
          <xdr:col>2</xdr:col>
          <xdr:colOff>82550</xdr:colOff>
          <xdr:row>71</xdr:row>
          <xdr:rowOff>69850</xdr:rowOff>
        </xdr:to>
        <xdr:sp macro="" textlink="">
          <xdr:nvSpPr>
            <xdr:cNvPr id="67602" name="OptionButton7" hidden="1">
              <a:extLst>
                <a:ext uri="{63B3BB69-23CF-44E3-9099-C40C66FF867C}">
                  <a14:compatExt spid="_x0000_s67602"/>
                </a:ext>
                <a:ext uri="{FF2B5EF4-FFF2-40B4-BE49-F238E27FC236}">
                  <a16:creationId xmlns:a16="http://schemas.microsoft.com/office/drawing/2014/main" id="{00000000-0008-0000-1B00-0000120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317500</xdr:colOff>
          <xdr:row>68</xdr:row>
          <xdr:rowOff>209550</xdr:rowOff>
        </xdr:from>
        <xdr:to>
          <xdr:col>4</xdr:col>
          <xdr:colOff>76200</xdr:colOff>
          <xdr:row>72</xdr:row>
          <xdr:rowOff>12700</xdr:rowOff>
        </xdr:to>
        <xdr:sp macro="" textlink="">
          <xdr:nvSpPr>
            <xdr:cNvPr id="67604" name="Group Box 20" hidden="1">
              <a:extLst>
                <a:ext uri="{63B3BB69-23CF-44E3-9099-C40C66FF867C}">
                  <a14:compatExt spid="_x0000_s67604"/>
                </a:ext>
                <a:ext uri="{FF2B5EF4-FFF2-40B4-BE49-F238E27FC236}">
                  <a16:creationId xmlns:a16="http://schemas.microsoft.com/office/drawing/2014/main" id="{00000000-0008-0000-1B00-0000140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889000</xdr:colOff>
          <xdr:row>37</xdr:row>
          <xdr:rowOff>127000</xdr:rowOff>
        </xdr:from>
        <xdr:to>
          <xdr:col>3</xdr:col>
          <xdr:colOff>889000</xdr:colOff>
          <xdr:row>38</xdr:row>
          <xdr:rowOff>127000</xdr:rowOff>
        </xdr:to>
        <xdr:sp macro="" textlink="">
          <xdr:nvSpPr>
            <xdr:cNvPr id="67605" name="Option Button 21" hidden="1">
              <a:extLst>
                <a:ext uri="{63B3BB69-23CF-44E3-9099-C40C66FF867C}">
                  <a14:compatExt spid="_x0000_s67605"/>
                </a:ext>
                <a:ext uri="{FF2B5EF4-FFF2-40B4-BE49-F238E27FC236}">
                  <a16:creationId xmlns:a16="http://schemas.microsoft.com/office/drawing/2014/main" id="{00000000-0008-0000-1B00-000015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WEIGH 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1060450</xdr:colOff>
          <xdr:row>37</xdr:row>
          <xdr:rowOff>69850</xdr:rowOff>
        </xdr:from>
        <xdr:to>
          <xdr:col>4</xdr:col>
          <xdr:colOff>31750</xdr:colOff>
          <xdr:row>38</xdr:row>
          <xdr:rowOff>69850</xdr:rowOff>
        </xdr:to>
        <xdr:sp macro="" textlink="">
          <xdr:nvSpPr>
            <xdr:cNvPr id="67606" name="Option Button 22" hidden="1">
              <a:extLst>
                <a:ext uri="{63B3BB69-23CF-44E3-9099-C40C66FF867C}">
                  <a14:compatExt spid="_x0000_s67606"/>
                </a:ext>
                <a:ext uri="{FF2B5EF4-FFF2-40B4-BE49-F238E27FC236}">
                  <a16:creationId xmlns:a16="http://schemas.microsoft.com/office/drawing/2014/main" id="{00000000-0008-0000-1B00-000016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SUPERHEAT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37</xdr:row>
          <xdr:rowOff>69850</xdr:rowOff>
        </xdr:from>
        <xdr:to>
          <xdr:col>5</xdr:col>
          <xdr:colOff>622300</xdr:colOff>
          <xdr:row>38</xdr:row>
          <xdr:rowOff>69850</xdr:rowOff>
        </xdr:to>
        <xdr:sp macro="" textlink="">
          <xdr:nvSpPr>
            <xdr:cNvPr id="67607" name="Option Button 23" hidden="1">
              <a:extLst>
                <a:ext uri="{63B3BB69-23CF-44E3-9099-C40C66FF867C}">
                  <a14:compatExt spid="_x0000_s67607"/>
                </a:ext>
                <a:ext uri="{FF2B5EF4-FFF2-40B4-BE49-F238E27FC236}">
                  <a16:creationId xmlns:a16="http://schemas.microsoft.com/office/drawing/2014/main" id="{00000000-0008-0000-1B00-000017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SUBCOOLING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36</xdr:row>
          <xdr:rowOff>266700</xdr:rowOff>
        </xdr:from>
        <xdr:to>
          <xdr:col>14</xdr:col>
          <xdr:colOff>698500</xdr:colOff>
          <xdr:row>39</xdr:row>
          <xdr:rowOff>50800</xdr:rowOff>
        </xdr:to>
        <xdr:sp macro="" textlink="">
          <xdr:nvSpPr>
            <xdr:cNvPr id="67609" name="Group Box 25" hidden="1">
              <a:extLst>
                <a:ext uri="{63B3BB69-23CF-44E3-9099-C40C66FF867C}">
                  <a14:compatExt spid="_x0000_s67609"/>
                </a:ext>
                <a:ext uri="{FF2B5EF4-FFF2-40B4-BE49-F238E27FC236}">
                  <a16:creationId xmlns:a16="http://schemas.microsoft.com/office/drawing/2014/main" id="{00000000-0008-0000-1B00-0000190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45</xdr:row>
          <xdr:rowOff>0</xdr:rowOff>
        </xdr:from>
        <xdr:to>
          <xdr:col>2</xdr:col>
          <xdr:colOff>57150</xdr:colOff>
          <xdr:row>46</xdr:row>
          <xdr:rowOff>69850</xdr:rowOff>
        </xdr:to>
        <xdr:sp macro="" textlink="">
          <xdr:nvSpPr>
            <xdr:cNvPr id="67611" name="OptionButton10" hidden="1">
              <a:extLst>
                <a:ext uri="{63B3BB69-23CF-44E3-9099-C40C66FF867C}">
                  <a14:compatExt spid="_x0000_s67611"/>
                </a:ext>
                <a:ext uri="{FF2B5EF4-FFF2-40B4-BE49-F238E27FC236}">
                  <a16:creationId xmlns:a16="http://schemas.microsoft.com/office/drawing/2014/main" id="{00000000-0008-0000-1B00-00001B0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571500</xdr:colOff>
          <xdr:row>42</xdr:row>
          <xdr:rowOff>209550</xdr:rowOff>
        </xdr:from>
        <xdr:to>
          <xdr:col>4</xdr:col>
          <xdr:colOff>76200</xdr:colOff>
          <xdr:row>46</xdr:row>
          <xdr:rowOff>12700</xdr:rowOff>
        </xdr:to>
        <xdr:sp macro="" textlink="">
          <xdr:nvSpPr>
            <xdr:cNvPr id="67613" name="Group Box 29" hidden="1">
              <a:extLst>
                <a:ext uri="{63B3BB69-23CF-44E3-9099-C40C66FF867C}">
                  <a14:compatExt spid="_x0000_s67613"/>
                </a:ext>
                <a:ext uri="{FF2B5EF4-FFF2-40B4-BE49-F238E27FC236}">
                  <a16:creationId xmlns:a16="http://schemas.microsoft.com/office/drawing/2014/main" id="{00000000-0008-0000-1B00-00001D0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927100</xdr:colOff>
          <xdr:row>9</xdr:row>
          <xdr:rowOff>114300</xdr:rowOff>
        </xdr:from>
        <xdr:to>
          <xdr:col>3</xdr:col>
          <xdr:colOff>0</xdr:colOff>
          <xdr:row>10</xdr:row>
          <xdr:rowOff>0</xdr:rowOff>
        </xdr:to>
        <xdr:sp macro="" textlink="">
          <xdr:nvSpPr>
            <xdr:cNvPr id="67679" name="Check Box 95" hidden="1">
              <a:extLst>
                <a:ext uri="{63B3BB69-23CF-44E3-9099-C40C66FF867C}">
                  <a14:compatExt spid="_x0000_s67679"/>
                </a:ext>
                <a:ext uri="{FF2B5EF4-FFF2-40B4-BE49-F238E27FC236}">
                  <a16:creationId xmlns:a16="http://schemas.microsoft.com/office/drawing/2014/main" id="{00000000-0008-0000-1B00-00005F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1003300</xdr:colOff>
          <xdr:row>9</xdr:row>
          <xdr:rowOff>114300</xdr:rowOff>
        </xdr:from>
        <xdr:to>
          <xdr:col>4</xdr:col>
          <xdr:colOff>603250</xdr:colOff>
          <xdr:row>9</xdr:row>
          <xdr:rowOff>190500</xdr:rowOff>
        </xdr:to>
        <xdr:sp macro="" textlink="">
          <xdr:nvSpPr>
            <xdr:cNvPr id="67680" name="Check Box 96" hidden="1">
              <a:extLst>
                <a:ext uri="{63B3BB69-23CF-44E3-9099-C40C66FF867C}">
                  <a14:compatExt spid="_x0000_s67680"/>
                </a:ext>
                <a:ext uri="{FF2B5EF4-FFF2-40B4-BE49-F238E27FC236}">
                  <a16:creationId xmlns:a16="http://schemas.microsoft.com/office/drawing/2014/main" id="{00000000-0008-0000-1B00-000060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9</xdr:row>
          <xdr:rowOff>127000</xdr:rowOff>
        </xdr:from>
        <xdr:to>
          <xdr:col>3</xdr:col>
          <xdr:colOff>1028700</xdr:colOff>
          <xdr:row>10</xdr:row>
          <xdr:rowOff>0</xdr:rowOff>
        </xdr:to>
        <xdr:sp macro="" textlink="">
          <xdr:nvSpPr>
            <xdr:cNvPr id="67682" name="Check Box 98" hidden="1">
              <a:extLst>
                <a:ext uri="{63B3BB69-23CF-44E3-9099-C40C66FF867C}">
                  <a14:compatExt spid="_x0000_s67682"/>
                </a:ext>
                <a:ext uri="{FF2B5EF4-FFF2-40B4-BE49-F238E27FC236}">
                  <a16:creationId xmlns:a16="http://schemas.microsoft.com/office/drawing/2014/main" id="{00000000-0008-0000-1B00-00006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927100</xdr:colOff>
          <xdr:row>9</xdr:row>
          <xdr:rowOff>114300</xdr:rowOff>
        </xdr:from>
        <xdr:to>
          <xdr:col>3</xdr:col>
          <xdr:colOff>0</xdr:colOff>
          <xdr:row>10</xdr:row>
          <xdr:rowOff>0</xdr:rowOff>
        </xdr:to>
        <xdr:sp macro="" textlink="">
          <xdr:nvSpPr>
            <xdr:cNvPr id="67683" name="Check Box 99" hidden="1">
              <a:extLst>
                <a:ext uri="{63B3BB69-23CF-44E3-9099-C40C66FF867C}">
                  <a14:compatExt spid="_x0000_s67683"/>
                </a:ext>
                <a:ext uri="{FF2B5EF4-FFF2-40B4-BE49-F238E27FC236}">
                  <a16:creationId xmlns:a16="http://schemas.microsoft.com/office/drawing/2014/main" id="{00000000-0008-0000-1B00-00006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xdr:row>
          <xdr:rowOff>114300</xdr:rowOff>
        </xdr:from>
        <xdr:to>
          <xdr:col>1</xdr:col>
          <xdr:colOff>450850</xdr:colOff>
          <xdr:row>10</xdr:row>
          <xdr:rowOff>0</xdr:rowOff>
        </xdr:to>
        <xdr:sp macro="" textlink="">
          <xdr:nvSpPr>
            <xdr:cNvPr id="67684" name="Check Box 100" hidden="1">
              <a:extLst>
                <a:ext uri="{63B3BB69-23CF-44E3-9099-C40C66FF867C}">
                  <a14:compatExt spid="_x0000_s67684"/>
                </a:ext>
                <a:ext uri="{FF2B5EF4-FFF2-40B4-BE49-F238E27FC236}">
                  <a16:creationId xmlns:a16="http://schemas.microsoft.com/office/drawing/2014/main" id="{00000000-0008-0000-1B00-00006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96</xdr:row>
          <xdr:rowOff>0</xdr:rowOff>
        </xdr:from>
        <xdr:to>
          <xdr:col>4</xdr:col>
          <xdr:colOff>76200</xdr:colOff>
          <xdr:row>100</xdr:row>
          <xdr:rowOff>146050</xdr:rowOff>
        </xdr:to>
        <xdr:sp macro="" textlink="">
          <xdr:nvSpPr>
            <xdr:cNvPr id="67685" name="Group Box 101" hidden="1">
              <a:extLst>
                <a:ext uri="{63B3BB69-23CF-44E3-9099-C40C66FF867C}">
                  <a14:compatExt spid="_x0000_s67685"/>
                </a:ext>
                <a:ext uri="{FF2B5EF4-FFF2-40B4-BE49-F238E27FC236}">
                  <a16:creationId xmlns:a16="http://schemas.microsoft.com/office/drawing/2014/main" id="{00000000-0008-0000-1B00-0000650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103</xdr:row>
          <xdr:rowOff>0</xdr:rowOff>
        </xdr:from>
        <xdr:to>
          <xdr:col>5</xdr:col>
          <xdr:colOff>50800</xdr:colOff>
          <xdr:row>104</xdr:row>
          <xdr:rowOff>50800</xdr:rowOff>
        </xdr:to>
        <xdr:sp macro="" textlink="">
          <xdr:nvSpPr>
            <xdr:cNvPr id="67686" name="Option Button 102" hidden="1">
              <a:extLst>
                <a:ext uri="{63B3BB69-23CF-44E3-9099-C40C66FF867C}">
                  <a14:compatExt spid="_x0000_s67686"/>
                </a:ext>
                <a:ext uri="{FF2B5EF4-FFF2-40B4-BE49-F238E27FC236}">
                  <a16:creationId xmlns:a16="http://schemas.microsoft.com/office/drawing/2014/main" id="{00000000-0008-0000-1B00-000066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103</xdr:row>
          <xdr:rowOff>12700</xdr:rowOff>
        </xdr:from>
        <xdr:to>
          <xdr:col>6</xdr:col>
          <xdr:colOff>0</xdr:colOff>
          <xdr:row>104</xdr:row>
          <xdr:rowOff>12700</xdr:rowOff>
        </xdr:to>
        <xdr:sp macro="" textlink="">
          <xdr:nvSpPr>
            <xdr:cNvPr id="67687" name="Option Button 103" hidden="1">
              <a:extLst>
                <a:ext uri="{63B3BB69-23CF-44E3-9099-C40C66FF867C}">
                  <a14:compatExt spid="_x0000_s67687"/>
                </a:ext>
                <a:ext uri="{FF2B5EF4-FFF2-40B4-BE49-F238E27FC236}">
                  <a16:creationId xmlns:a16="http://schemas.microsoft.com/office/drawing/2014/main" id="{00000000-0008-0000-1B00-000067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102</xdr:row>
          <xdr:rowOff>12700</xdr:rowOff>
        </xdr:from>
        <xdr:to>
          <xdr:col>6</xdr:col>
          <xdr:colOff>533400</xdr:colOff>
          <xdr:row>104</xdr:row>
          <xdr:rowOff>165100</xdr:rowOff>
        </xdr:to>
        <xdr:sp macro="" textlink="">
          <xdr:nvSpPr>
            <xdr:cNvPr id="67688" name="Group Box 104" hidden="1">
              <a:extLst>
                <a:ext uri="{63B3BB69-23CF-44E3-9099-C40C66FF867C}">
                  <a14:compatExt spid="_x0000_s67688"/>
                </a:ext>
                <a:ext uri="{FF2B5EF4-FFF2-40B4-BE49-F238E27FC236}">
                  <a16:creationId xmlns:a16="http://schemas.microsoft.com/office/drawing/2014/main" id="{00000000-0008-0000-1B00-0000680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374650</xdr:colOff>
          <xdr:row>96</xdr:row>
          <xdr:rowOff>76200</xdr:rowOff>
        </xdr:from>
        <xdr:to>
          <xdr:col>4</xdr:col>
          <xdr:colOff>76200</xdr:colOff>
          <xdr:row>100</xdr:row>
          <xdr:rowOff>38100</xdr:rowOff>
        </xdr:to>
        <xdr:sp macro="" textlink="">
          <xdr:nvSpPr>
            <xdr:cNvPr id="67689" name="Group Box 105" hidden="1">
              <a:extLst>
                <a:ext uri="{63B3BB69-23CF-44E3-9099-C40C66FF867C}">
                  <a14:compatExt spid="_x0000_s67689"/>
                </a:ext>
                <a:ext uri="{FF2B5EF4-FFF2-40B4-BE49-F238E27FC236}">
                  <a16:creationId xmlns:a16="http://schemas.microsoft.com/office/drawing/2014/main" id="{00000000-0008-0000-1B00-0000690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106</xdr:row>
          <xdr:rowOff>0</xdr:rowOff>
        </xdr:from>
        <xdr:to>
          <xdr:col>5</xdr:col>
          <xdr:colOff>50800</xdr:colOff>
          <xdr:row>107</xdr:row>
          <xdr:rowOff>50800</xdr:rowOff>
        </xdr:to>
        <xdr:sp macro="" textlink="">
          <xdr:nvSpPr>
            <xdr:cNvPr id="67690" name="Option Button 106" hidden="1">
              <a:extLst>
                <a:ext uri="{63B3BB69-23CF-44E3-9099-C40C66FF867C}">
                  <a14:compatExt spid="_x0000_s67690"/>
                </a:ext>
                <a:ext uri="{FF2B5EF4-FFF2-40B4-BE49-F238E27FC236}">
                  <a16:creationId xmlns:a16="http://schemas.microsoft.com/office/drawing/2014/main" id="{00000000-0008-0000-1B00-00006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106</xdr:row>
          <xdr:rowOff>12700</xdr:rowOff>
        </xdr:from>
        <xdr:to>
          <xdr:col>6</xdr:col>
          <xdr:colOff>0</xdr:colOff>
          <xdr:row>107</xdr:row>
          <xdr:rowOff>12700</xdr:rowOff>
        </xdr:to>
        <xdr:sp macro="" textlink="">
          <xdr:nvSpPr>
            <xdr:cNvPr id="67691" name="Option Button 107" hidden="1">
              <a:extLst>
                <a:ext uri="{63B3BB69-23CF-44E3-9099-C40C66FF867C}">
                  <a14:compatExt spid="_x0000_s67691"/>
                </a:ext>
                <a:ext uri="{FF2B5EF4-FFF2-40B4-BE49-F238E27FC236}">
                  <a16:creationId xmlns:a16="http://schemas.microsoft.com/office/drawing/2014/main" id="{00000000-0008-0000-1B00-00006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105</xdr:row>
          <xdr:rowOff>69850</xdr:rowOff>
        </xdr:from>
        <xdr:to>
          <xdr:col>6</xdr:col>
          <xdr:colOff>323850</xdr:colOff>
          <xdr:row>108</xdr:row>
          <xdr:rowOff>50800</xdr:rowOff>
        </xdr:to>
        <xdr:sp macro="" textlink="">
          <xdr:nvSpPr>
            <xdr:cNvPr id="67692" name="Group Box 108" hidden="1">
              <a:extLst>
                <a:ext uri="{63B3BB69-23CF-44E3-9099-C40C66FF867C}">
                  <a14:compatExt spid="_x0000_s67692"/>
                </a:ext>
                <a:ext uri="{FF2B5EF4-FFF2-40B4-BE49-F238E27FC236}">
                  <a16:creationId xmlns:a16="http://schemas.microsoft.com/office/drawing/2014/main" id="{00000000-0008-0000-1B00-00006C0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Group Box 42</a:t>
              </a:r>
            </a:p>
          </xdr:txBody>
        </xdr:sp>
        <xdr:clientData/>
      </xdr:twoCellAnchor>
    </mc:Choice>
    <mc:Fallback/>
  </mc:AlternateContent>
</xdr:wsDr>
</file>

<file path=xl/drawings/drawing2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12</xdr:row>
          <xdr:rowOff>0</xdr:rowOff>
        </xdr:from>
        <xdr:to>
          <xdr:col>4</xdr:col>
          <xdr:colOff>374650</xdr:colOff>
          <xdr:row>13</xdr:row>
          <xdr:rowOff>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1C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Airflow and Charge testing is not applicable due to installation type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12</xdr:row>
          <xdr:rowOff>342900</xdr:rowOff>
        </xdr:from>
        <xdr:to>
          <xdr:col>2</xdr:col>
          <xdr:colOff>476250</xdr:colOff>
          <xdr:row>14</xdr:row>
          <xdr:rowOff>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1C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Airflow complete.  See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23</xdr:row>
          <xdr:rowOff>88900</xdr:rowOff>
        </xdr:from>
        <xdr:to>
          <xdr:col>8</xdr:col>
          <xdr:colOff>469900</xdr:colOff>
          <xdr:row>24</xdr:row>
          <xdr:rowOff>88900</xdr:rowOff>
        </xdr:to>
        <xdr:sp macro="" textlink="">
          <xdr:nvSpPr>
            <xdr:cNvPr id="26628" name="Option Button 4" hidden="1">
              <a:extLst>
                <a:ext uri="{63B3BB69-23CF-44E3-9099-C40C66FF867C}">
                  <a14:compatExt spid="_x0000_s26628"/>
                </a:ext>
                <a:ext uri="{FF2B5EF4-FFF2-40B4-BE49-F238E27FC236}">
                  <a16:creationId xmlns:a16="http://schemas.microsoft.com/office/drawing/2014/main" id="{00000000-0008-0000-1C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mailed to my Home Address or Mailing Address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38100</xdr:rowOff>
        </xdr:from>
        <xdr:to>
          <xdr:col>3</xdr:col>
          <xdr:colOff>0</xdr:colOff>
          <xdr:row>25</xdr:row>
          <xdr:rowOff>69850</xdr:rowOff>
        </xdr:to>
        <xdr:sp macro="" textlink="">
          <xdr:nvSpPr>
            <xdr:cNvPr id="26629" name="Option Button 5" hidden="1">
              <a:extLst>
                <a:ext uri="{63B3BB69-23CF-44E3-9099-C40C66FF867C}">
                  <a14:compatExt spid="_x0000_s26629"/>
                </a:ext>
                <a:ext uri="{FF2B5EF4-FFF2-40B4-BE49-F238E27FC236}">
                  <a16:creationId xmlns:a16="http://schemas.microsoft.com/office/drawing/2014/main" id="{00000000-0008-0000-1C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Assign to my installation Contractor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114300</xdr:rowOff>
        </xdr:from>
        <xdr:to>
          <xdr:col>4</xdr:col>
          <xdr:colOff>12700</xdr:colOff>
          <xdr:row>24</xdr:row>
          <xdr:rowOff>57150</xdr:rowOff>
        </xdr:to>
        <xdr:sp macro="" textlink="">
          <xdr:nvSpPr>
            <xdr:cNvPr id="26630" name="Option Button 6" hidden="1">
              <a:extLst>
                <a:ext uri="{63B3BB69-23CF-44E3-9099-C40C66FF867C}">
                  <a14:compatExt spid="_x0000_s26630"/>
                </a:ext>
                <a:ext uri="{FF2B5EF4-FFF2-40B4-BE49-F238E27FC236}">
                  <a16:creationId xmlns:a16="http://schemas.microsoft.com/office/drawing/2014/main" id="{00000000-0008-0000-1C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Credited to my PSEG Long Island electric account</a:t>
              </a:r>
            </a:p>
          </xdr:txBody>
        </xdr:sp>
        <xdr:clientData/>
      </xdr:twoCellAnchor>
    </mc:Choice>
    <mc:Fallback/>
  </mc:AlternateContent>
  <xdr:twoCellAnchor editAs="oneCell">
    <xdr:from>
      <xdr:col>8</xdr:col>
      <xdr:colOff>19050</xdr:colOff>
      <xdr:row>0</xdr:row>
      <xdr:rowOff>219075</xdr:rowOff>
    </xdr:from>
    <xdr:to>
      <xdr:col>11</xdr:col>
      <xdr:colOff>660050</xdr:colOff>
      <xdr:row>1</xdr:row>
      <xdr:rowOff>158880</xdr:rowOff>
    </xdr:to>
    <xdr:pic>
      <xdr:nvPicPr>
        <xdr:cNvPr id="3" name="Picture 2">
          <a:extLst>
            <a:ext uri="{FF2B5EF4-FFF2-40B4-BE49-F238E27FC236}">
              <a16:creationId xmlns:a16="http://schemas.microsoft.com/office/drawing/2014/main" id="{00000000-0008-0000-1D00-000003000000}"/>
            </a:ext>
          </a:extLst>
        </xdr:cNvPr>
        <xdr:cNvPicPr>
          <a:picLocks noChangeAspect="1"/>
        </xdr:cNvPicPr>
      </xdr:nvPicPr>
      <xdr:blipFill>
        <a:blip xmlns:r="http://schemas.openxmlformats.org/officeDocument/2006/relationships" r:embed="rId1"/>
        <a:stretch>
          <a:fillRect/>
        </a:stretch>
      </xdr:blipFill>
      <xdr:spPr>
        <a:xfrm>
          <a:off x="5972175" y="219075"/>
          <a:ext cx="3034950" cy="708155"/>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7</xdr:col>
      <xdr:colOff>1036761</xdr:colOff>
      <xdr:row>0</xdr:row>
      <xdr:rowOff>104775</xdr:rowOff>
    </xdr:from>
    <xdr:to>
      <xdr:col>11</xdr:col>
      <xdr:colOff>638175</xdr:colOff>
      <xdr:row>1</xdr:row>
      <xdr:rowOff>66675</xdr:rowOff>
    </xdr:to>
    <xdr:pic>
      <xdr:nvPicPr>
        <xdr:cNvPr id="7" name="Picture 6">
          <a:extLst>
            <a:ext uri="{FF2B5EF4-FFF2-40B4-BE49-F238E27FC236}">
              <a16:creationId xmlns:a16="http://schemas.microsoft.com/office/drawing/2014/main" id="{00000000-0008-0000-1E00-000007000000}"/>
            </a:ext>
          </a:extLst>
        </xdr:cNvPr>
        <xdr:cNvPicPr>
          <a:picLocks noChangeAspect="1"/>
        </xdr:cNvPicPr>
      </xdr:nvPicPr>
      <xdr:blipFill>
        <a:blip xmlns:r="http://schemas.openxmlformats.org/officeDocument/2006/relationships" r:embed="rId1"/>
        <a:stretch>
          <a:fillRect/>
        </a:stretch>
      </xdr:blipFill>
      <xdr:spPr>
        <a:xfrm>
          <a:off x="6199311" y="104775"/>
          <a:ext cx="3198689" cy="720725"/>
        </a:xfrm>
        <a:prstGeom prst="rect">
          <a:avLst/>
        </a:prstGeom>
      </xdr:spPr>
    </xdr:pic>
    <xdr:clientData/>
  </xdr:twoCellAnchor>
  <xdr:twoCellAnchor editAs="oneCell">
    <xdr:from>
      <xdr:col>0</xdr:col>
      <xdr:colOff>0</xdr:colOff>
      <xdr:row>1</xdr:row>
      <xdr:rowOff>0</xdr:rowOff>
    </xdr:from>
    <xdr:to>
      <xdr:col>2</xdr:col>
      <xdr:colOff>111309</xdr:colOff>
      <xdr:row>1</xdr:row>
      <xdr:rowOff>755556</xdr:rowOff>
    </xdr:to>
    <xdr:pic>
      <xdr:nvPicPr>
        <xdr:cNvPr id="2" name="Picture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2"/>
        <a:stretch>
          <a:fillRect/>
        </a:stretch>
      </xdr:blipFill>
      <xdr:spPr>
        <a:xfrm>
          <a:off x="0" y="762000"/>
          <a:ext cx="2311024" cy="75238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48</xdr:row>
          <xdr:rowOff>165100</xdr:rowOff>
        </xdr:from>
        <xdr:to>
          <xdr:col>4</xdr:col>
          <xdr:colOff>304800</xdr:colOff>
          <xdr:row>49</xdr:row>
          <xdr:rowOff>190500</xdr:rowOff>
        </xdr:to>
        <xdr:sp macro="" textlink="">
          <xdr:nvSpPr>
            <xdr:cNvPr id="203777" name="Check Box 1" hidden="1">
              <a:extLst>
                <a:ext uri="{63B3BB69-23CF-44E3-9099-C40C66FF867C}">
                  <a14:compatExt spid="_x0000_s203777"/>
                </a:ext>
                <a:ext uri="{FF2B5EF4-FFF2-40B4-BE49-F238E27FC236}">
                  <a16:creationId xmlns:a16="http://schemas.microsoft.com/office/drawing/2014/main" id="{00000000-0008-0000-1D00-0000011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I have received a copy of the Comprehensive Home Energy Assessment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1289050</xdr:colOff>
          <xdr:row>52</xdr:row>
          <xdr:rowOff>88900</xdr:rowOff>
        </xdr:from>
        <xdr:to>
          <xdr:col>4</xdr:col>
          <xdr:colOff>304800</xdr:colOff>
          <xdr:row>52</xdr:row>
          <xdr:rowOff>393700</xdr:rowOff>
        </xdr:to>
        <xdr:sp macro="" textlink="">
          <xdr:nvSpPr>
            <xdr:cNvPr id="203778" name="Option Button 2" hidden="1">
              <a:extLst>
                <a:ext uri="{63B3BB69-23CF-44E3-9099-C40C66FF867C}">
                  <a14:compatExt spid="_x0000_s203778"/>
                </a:ext>
                <a:ext uri="{FF2B5EF4-FFF2-40B4-BE49-F238E27FC236}">
                  <a16:creationId xmlns:a16="http://schemas.microsoft.com/office/drawing/2014/main" id="{00000000-0008-0000-1D00-0000021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Credited to my PSEG Long Island electric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52</xdr:row>
          <xdr:rowOff>381000</xdr:rowOff>
        </xdr:from>
        <xdr:to>
          <xdr:col>4</xdr:col>
          <xdr:colOff>88900</xdr:colOff>
          <xdr:row>53</xdr:row>
          <xdr:rowOff>88900</xdr:rowOff>
        </xdr:to>
        <xdr:sp macro="" textlink="">
          <xdr:nvSpPr>
            <xdr:cNvPr id="203779" name="Option Button 3" hidden="1">
              <a:extLst>
                <a:ext uri="{63B3BB69-23CF-44E3-9099-C40C66FF867C}">
                  <a14:compatExt spid="_x0000_s203779"/>
                </a:ext>
                <a:ext uri="{FF2B5EF4-FFF2-40B4-BE49-F238E27FC236}">
                  <a16:creationId xmlns:a16="http://schemas.microsoft.com/office/drawing/2014/main" id="{00000000-0008-0000-1D00-0000031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Assigned to my Installation Contractor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241300</xdr:colOff>
          <xdr:row>52</xdr:row>
          <xdr:rowOff>133350</xdr:rowOff>
        </xdr:from>
        <xdr:to>
          <xdr:col>8</xdr:col>
          <xdr:colOff>114300</xdr:colOff>
          <xdr:row>52</xdr:row>
          <xdr:rowOff>336550</xdr:rowOff>
        </xdr:to>
        <xdr:sp macro="" textlink="">
          <xdr:nvSpPr>
            <xdr:cNvPr id="203780" name="Option Button 4" hidden="1">
              <a:extLst>
                <a:ext uri="{63B3BB69-23CF-44E3-9099-C40C66FF867C}">
                  <a14:compatExt spid="_x0000_s203780"/>
                </a:ext>
                <a:ext uri="{FF2B5EF4-FFF2-40B4-BE49-F238E27FC236}">
                  <a16:creationId xmlns:a16="http://schemas.microsoft.com/office/drawing/2014/main" id="{00000000-0008-0000-1D00-0000041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Check mailed to Home Address or Mailing Address</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7</xdr:col>
      <xdr:colOff>26670</xdr:colOff>
      <xdr:row>0</xdr:row>
      <xdr:rowOff>152400</xdr:rowOff>
    </xdr:from>
    <xdr:to>
      <xdr:col>12</xdr:col>
      <xdr:colOff>0</xdr:colOff>
      <xdr:row>2</xdr:row>
      <xdr:rowOff>47480</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51220" y="152400"/>
          <a:ext cx="4297680" cy="936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1905</xdr:colOff>
      <xdr:row>18</xdr:row>
      <xdr:rowOff>149225</xdr:rowOff>
    </xdr:from>
    <xdr:to>
      <xdr:col>2</xdr:col>
      <xdr:colOff>884570</xdr:colOff>
      <xdr:row>23</xdr:row>
      <xdr:rowOff>125133</xdr:rowOff>
    </xdr:to>
    <xdr:sp macro="" textlink="">
      <xdr:nvSpPr>
        <xdr:cNvPr id="2" name="Check Box 15" hidden="1">
          <a:extLst>
            <a:ext uri="{FF2B5EF4-FFF2-40B4-BE49-F238E27FC236}">
              <a16:creationId xmlns:a16="http://schemas.microsoft.com/office/drawing/2014/main" id="{00000000-0008-0000-0300-000002000000}"/>
            </a:ext>
          </a:extLst>
        </xdr:cNvPr>
        <xdr:cNvSpPr/>
      </xdr:nvSpPr>
      <xdr:spPr>
        <a:xfrm>
          <a:off x="1205865" y="3137535"/>
          <a:ext cx="593467" cy="219075"/>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cs typeface="Tahoma"/>
            </a:rPr>
            <a:t>Completed Worksheet</a:t>
          </a:r>
        </a:p>
      </xdr:txBody>
    </xdr:sp>
    <xdr:clientData/>
  </xdr:twoCellAnchor>
  <mc:AlternateContent xmlns:mc="http://schemas.openxmlformats.org/markup-compatibility/2006">
    <mc:Choice xmlns:a14="http://schemas.microsoft.com/office/drawing/2010/main" Requires="a14">
      <xdr:twoCellAnchor editAs="oneCell">
        <xdr:from>
          <xdr:col>8</xdr:col>
          <xdr:colOff>0</xdr:colOff>
          <xdr:row>3</xdr:row>
          <xdr:rowOff>0</xdr:rowOff>
        </xdr:from>
        <xdr:to>
          <xdr:col>255</xdr:col>
          <xdr:colOff>0</xdr:colOff>
          <xdr:row>3</xdr:row>
          <xdr:rowOff>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3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New Equipment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xdr:row>
          <xdr:rowOff>0</xdr:rowOff>
        </xdr:from>
        <xdr:to>
          <xdr:col>255</xdr:col>
          <xdr:colOff>0</xdr:colOff>
          <xdr:row>3</xdr:row>
          <xdr:rowOff>0</xdr:rowOff>
        </xdr:to>
        <xdr:sp macro="" textlink="">
          <xdr:nvSpPr>
            <xdr:cNvPr id="34818" name="Check Box 2" hidden="1">
              <a:extLst>
                <a:ext uri="{63B3BB69-23CF-44E3-9099-C40C66FF867C}">
                  <a14:compatExt spid="_x0000_s34818"/>
                </a:ext>
                <a:ext uri="{FF2B5EF4-FFF2-40B4-BE49-F238E27FC236}">
                  <a16:creationId xmlns:a16="http://schemas.microsoft.com/office/drawing/2014/main" id="{00000000-0008-0000-03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Replacement Equipment</a:t>
              </a:r>
            </a:p>
          </xdr:txBody>
        </xdr:sp>
        <xdr:clientData/>
      </xdr:twoCellAnchor>
    </mc:Choice>
    <mc:Fallback/>
  </mc:AlternateContent>
  <xdr:oneCellAnchor>
    <xdr:from>
      <xdr:col>4</xdr:col>
      <xdr:colOff>611505</xdr:colOff>
      <xdr:row>2</xdr:row>
      <xdr:rowOff>0</xdr:rowOff>
    </xdr:from>
    <xdr:ext cx="277097" cy="309729"/>
    <xdr:sp macro="" textlink="">
      <xdr:nvSpPr>
        <xdr:cNvPr id="18" name="TextBox 17">
          <a:extLst>
            <a:ext uri="{FF2B5EF4-FFF2-40B4-BE49-F238E27FC236}">
              <a16:creationId xmlns:a16="http://schemas.microsoft.com/office/drawing/2014/main" id="{00000000-0008-0000-0300-000012000000}"/>
            </a:ext>
          </a:extLst>
        </xdr:cNvPr>
        <xdr:cNvSpPr txBox="1"/>
      </xdr:nvSpPr>
      <xdr:spPr>
        <a:xfrm>
          <a:off x="578040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2</xdr:col>
      <xdr:colOff>1905</xdr:colOff>
      <xdr:row>7</xdr:row>
      <xdr:rowOff>149225</xdr:rowOff>
    </xdr:from>
    <xdr:ext cx="882665" cy="316518"/>
    <xdr:sp macro="" textlink="">
      <xdr:nvSpPr>
        <xdr:cNvPr id="15" name="Check Box 15" hidden="1">
          <a:extLst>
            <a:ext uri="{FF2B5EF4-FFF2-40B4-BE49-F238E27FC236}">
              <a16:creationId xmlns:a16="http://schemas.microsoft.com/office/drawing/2014/main" id="{00000000-0008-0000-0300-00000F000000}"/>
            </a:ext>
          </a:extLst>
        </xdr:cNvPr>
        <xdr:cNvSpPr/>
      </xdr:nvSpPr>
      <xdr:spPr>
        <a:xfrm>
          <a:off x="1221105" y="4368800"/>
          <a:ext cx="882665" cy="309283"/>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cs typeface="Tahoma"/>
            </a:rPr>
            <a:t>Completed Worksheet</a:t>
          </a:r>
        </a:p>
      </xdr:txBody>
    </xdr:sp>
    <xdr:clientData/>
  </xdr:oneCellAnchor>
  <xdr:oneCellAnchor>
    <xdr:from>
      <xdr:col>4</xdr:col>
      <xdr:colOff>611505</xdr:colOff>
      <xdr:row>23</xdr:row>
      <xdr:rowOff>0</xdr:rowOff>
    </xdr:from>
    <xdr:ext cx="277097" cy="309729"/>
    <xdr:sp macro="" textlink="">
      <xdr:nvSpPr>
        <xdr:cNvPr id="22" name="TextBox 21">
          <a:extLst>
            <a:ext uri="{FF2B5EF4-FFF2-40B4-BE49-F238E27FC236}">
              <a16:creationId xmlns:a16="http://schemas.microsoft.com/office/drawing/2014/main" id="{00000000-0008-0000-0300-000016000000}"/>
            </a:ext>
          </a:extLst>
        </xdr:cNvPr>
        <xdr:cNvSpPr txBox="1"/>
      </xdr:nvSpPr>
      <xdr:spPr>
        <a:xfrm>
          <a:off x="5978635" y="1524000"/>
          <a:ext cx="277097" cy="3097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2</xdr:col>
      <xdr:colOff>1905</xdr:colOff>
      <xdr:row>26</xdr:row>
      <xdr:rowOff>0</xdr:rowOff>
    </xdr:from>
    <xdr:ext cx="882665" cy="316518"/>
    <xdr:sp macro="" textlink="">
      <xdr:nvSpPr>
        <xdr:cNvPr id="24" name="Check Box 15" hidden="1">
          <a:extLst>
            <a:ext uri="{FF2B5EF4-FFF2-40B4-BE49-F238E27FC236}">
              <a16:creationId xmlns:a16="http://schemas.microsoft.com/office/drawing/2014/main" id="{00000000-0008-0000-0300-000018000000}"/>
            </a:ext>
          </a:extLst>
        </xdr:cNvPr>
        <xdr:cNvSpPr/>
      </xdr:nvSpPr>
      <xdr:spPr>
        <a:xfrm>
          <a:off x="1211166" y="2890768"/>
          <a:ext cx="882665" cy="316518"/>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cs typeface="Tahoma"/>
            </a:rPr>
            <a:t>Completed Worksheet</a:t>
          </a:r>
        </a:p>
      </xdr:txBody>
    </xdr:sp>
    <xdr:clientData/>
  </xdr:oneCellAnchor>
  <xdr:oneCellAnchor>
    <xdr:from>
      <xdr:col>2</xdr:col>
      <xdr:colOff>1905</xdr:colOff>
      <xdr:row>26</xdr:row>
      <xdr:rowOff>0</xdr:rowOff>
    </xdr:from>
    <xdr:ext cx="885840" cy="315909"/>
    <xdr:sp macro="" textlink="">
      <xdr:nvSpPr>
        <xdr:cNvPr id="27" name="Check Box 15" hidden="1">
          <a:extLst>
            <a:ext uri="{FF2B5EF4-FFF2-40B4-BE49-F238E27FC236}">
              <a16:creationId xmlns:a16="http://schemas.microsoft.com/office/drawing/2014/main" id="{00000000-0008-0000-0300-00001B000000}"/>
            </a:ext>
          </a:extLst>
        </xdr:cNvPr>
        <xdr:cNvSpPr/>
      </xdr:nvSpPr>
      <xdr:spPr>
        <a:xfrm>
          <a:off x="1211166" y="4853747"/>
          <a:ext cx="885840" cy="315909"/>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cs typeface="Tahoma"/>
            </a:rPr>
            <a:t>Completed Worksheet</a:t>
          </a:r>
        </a:p>
      </xdr:txBody>
    </xdr:sp>
    <xdr:clientData/>
  </xdr:oneCellAnchor>
  <xdr:twoCellAnchor editAs="oneCell">
    <xdr:from>
      <xdr:col>2</xdr:col>
      <xdr:colOff>1905</xdr:colOff>
      <xdr:row>8</xdr:row>
      <xdr:rowOff>635</xdr:rowOff>
    </xdr:from>
    <xdr:to>
      <xdr:col>2</xdr:col>
      <xdr:colOff>1857573</xdr:colOff>
      <xdr:row>9</xdr:row>
      <xdr:rowOff>2838</xdr:rowOff>
    </xdr:to>
    <xdr:sp macro="" textlink="">
      <xdr:nvSpPr>
        <xdr:cNvPr id="57" name="Check Box 15" hidden="1">
          <a:extLst>
            <a:ext uri="{FF2B5EF4-FFF2-40B4-BE49-F238E27FC236}">
              <a16:creationId xmlns:a16="http://schemas.microsoft.com/office/drawing/2014/main" id="{00000000-0008-0000-0300-000039000000}"/>
            </a:ext>
          </a:extLst>
        </xdr:cNvPr>
        <xdr:cNvSpPr/>
      </xdr:nvSpPr>
      <xdr:spPr>
        <a:xfrm>
          <a:off x="1163955" y="3229610"/>
          <a:ext cx="1852493" cy="227339"/>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cs typeface="Tahoma"/>
            </a:rPr>
            <a:t>Completed Worksheet</a:t>
          </a:r>
        </a:p>
      </xdr:txBody>
    </xdr:sp>
    <xdr:clientData/>
  </xdr:twoCellAnchor>
  <mc:AlternateContent xmlns:mc="http://schemas.openxmlformats.org/markup-compatibility/2006">
    <mc:Choice xmlns:a14="http://schemas.microsoft.com/office/drawing/2010/main" Requires="a14">
      <xdr:twoCellAnchor editAs="oneCell">
        <xdr:from>
          <xdr:col>1</xdr:col>
          <xdr:colOff>1200150</xdr:colOff>
          <xdr:row>4</xdr:row>
          <xdr:rowOff>69850</xdr:rowOff>
        </xdr:from>
        <xdr:to>
          <xdr:col>3</xdr:col>
          <xdr:colOff>0</xdr:colOff>
          <xdr:row>5</xdr:row>
          <xdr:rowOff>0</xdr:rowOff>
        </xdr:to>
        <xdr:sp macro="" textlink="">
          <xdr:nvSpPr>
            <xdr:cNvPr id="35594" name="Check Box 778" hidden="1">
              <a:extLst>
                <a:ext uri="{63B3BB69-23CF-44E3-9099-C40C66FF867C}">
                  <a14:compatExt spid="_x0000_s35594"/>
                </a:ext>
                <a:ext uri="{FF2B5EF4-FFF2-40B4-BE49-F238E27FC236}">
                  <a16:creationId xmlns:a16="http://schemas.microsoft.com/office/drawing/2014/main" id="{00000000-0008-0000-0300-00000A8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Assignment Letter (only required if rebate is assigned to contractor)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1200150</xdr:colOff>
          <xdr:row>5</xdr:row>
          <xdr:rowOff>69850</xdr:rowOff>
        </xdr:from>
        <xdr:to>
          <xdr:col>3</xdr:col>
          <xdr:colOff>0</xdr:colOff>
          <xdr:row>6</xdr:row>
          <xdr:rowOff>0</xdr:rowOff>
        </xdr:to>
        <xdr:sp macro="" textlink="">
          <xdr:nvSpPr>
            <xdr:cNvPr id="35595" name="Check Box 779" hidden="1">
              <a:extLst>
                <a:ext uri="{63B3BB69-23CF-44E3-9099-C40C66FF867C}">
                  <a14:compatExt spid="_x0000_s35595"/>
                </a:ext>
                <a:ext uri="{FF2B5EF4-FFF2-40B4-BE49-F238E27FC236}">
                  <a16:creationId xmlns:a16="http://schemas.microsoft.com/office/drawing/2014/main" id="{00000000-0008-0000-0300-00000B8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Cut Sheets for All Measures (must identify model number)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1200150</xdr:colOff>
          <xdr:row>12</xdr:row>
          <xdr:rowOff>69850</xdr:rowOff>
        </xdr:from>
        <xdr:to>
          <xdr:col>3</xdr:col>
          <xdr:colOff>0</xdr:colOff>
          <xdr:row>13</xdr:row>
          <xdr:rowOff>0</xdr:rowOff>
        </xdr:to>
        <xdr:sp macro="" textlink="">
          <xdr:nvSpPr>
            <xdr:cNvPr id="35596" name="Check Box 780" hidden="1">
              <a:extLst>
                <a:ext uri="{63B3BB69-23CF-44E3-9099-C40C66FF867C}">
                  <a14:compatExt spid="_x0000_s35596"/>
                </a:ext>
                <a:ext uri="{FF2B5EF4-FFF2-40B4-BE49-F238E27FC236}">
                  <a16:creationId xmlns:a16="http://schemas.microsoft.com/office/drawing/2014/main" id="{00000000-0008-0000-0300-00000C8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Proof of Payment (reflecting total installed cost)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1200150</xdr:colOff>
          <xdr:row>7</xdr:row>
          <xdr:rowOff>50800</xdr:rowOff>
        </xdr:from>
        <xdr:to>
          <xdr:col>3</xdr:col>
          <xdr:colOff>0</xdr:colOff>
          <xdr:row>8</xdr:row>
          <xdr:rowOff>0</xdr:rowOff>
        </xdr:to>
        <xdr:sp macro="" textlink="">
          <xdr:nvSpPr>
            <xdr:cNvPr id="35597" name="Check Box 781" hidden="1">
              <a:extLst>
                <a:ext uri="{63B3BB69-23CF-44E3-9099-C40C66FF867C}">
                  <a14:compatExt spid="_x0000_s35597"/>
                </a:ext>
                <a:ext uri="{FF2B5EF4-FFF2-40B4-BE49-F238E27FC236}">
                  <a16:creationId xmlns:a16="http://schemas.microsoft.com/office/drawing/2014/main" id="{00000000-0008-0000-0300-00000D8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W9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1200150</xdr:colOff>
          <xdr:row>13</xdr:row>
          <xdr:rowOff>69850</xdr:rowOff>
        </xdr:from>
        <xdr:to>
          <xdr:col>3</xdr:col>
          <xdr:colOff>0</xdr:colOff>
          <xdr:row>14</xdr:row>
          <xdr:rowOff>0</xdr:rowOff>
        </xdr:to>
        <xdr:sp macro="" textlink="">
          <xdr:nvSpPr>
            <xdr:cNvPr id="35598" name="Check Box 782" hidden="1">
              <a:extLst>
                <a:ext uri="{63B3BB69-23CF-44E3-9099-C40C66FF867C}">
                  <a14:compatExt spid="_x0000_s35598"/>
                </a:ext>
                <a:ext uri="{FF2B5EF4-FFF2-40B4-BE49-F238E27FC236}">
                  <a16:creationId xmlns:a16="http://schemas.microsoft.com/office/drawing/2014/main" id="{00000000-0008-0000-0300-00000E8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Certification of Completion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69850</xdr:rowOff>
        </xdr:from>
        <xdr:to>
          <xdr:col>2</xdr:col>
          <xdr:colOff>2819400</xdr:colOff>
          <xdr:row>11</xdr:row>
          <xdr:rowOff>28575</xdr:rowOff>
        </xdr:to>
        <xdr:sp macro="" textlink="">
          <xdr:nvSpPr>
            <xdr:cNvPr id="35599" name="Check Box 783" hidden="1">
              <a:extLst>
                <a:ext uri="{63B3BB69-23CF-44E3-9099-C40C66FF867C}">
                  <a14:compatExt spid="_x0000_s35599"/>
                </a:ext>
                <a:ext uri="{FF2B5EF4-FFF2-40B4-BE49-F238E27FC236}">
                  <a16:creationId xmlns:a16="http://schemas.microsoft.com/office/drawing/2014/main" id="{00000000-0008-0000-0300-00000F8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Pre-Inspection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1200150</xdr:colOff>
          <xdr:row>8</xdr:row>
          <xdr:rowOff>69850</xdr:rowOff>
        </xdr:from>
        <xdr:to>
          <xdr:col>3</xdr:col>
          <xdr:colOff>0</xdr:colOff>
          <xdr:row>9</xdr:row>
          <xdr:rowOff>0</xdr:rowOff>
        </xdr:to>
        <xdr:sp macro="" textlink="">
          <xdr:nvSpPr>
            <xdr:cNvPr id="35600" name="Check Box 784" hidden="1">
              <a:extLst>
                <a:ext uri="{63B3BB69-23CF-44E3-9099-C40C66FF867C}">
                  <a14:compatExt spid="_x0000_s35600"/>
                </a:ext>
                <a:ext uri="{FF2B5EF4-FFF2-40B4-BE49-F238E27FC236}">
                  <a16:creationId xmlns:a16="http://schemas.microsoft.com/office/drawing/2014/main" id="{00000000-0008-0000-0300-0000108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Completed Worksheet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9</xdr:row>
          <xdr:rowOff>76200</xdr:rowOff>
        </xdr:from>
        <xdr:to>
          <xdr:col>3</xdr:col>
          <xdr:colOff>9525</xdr:colOff>
          <xdr:row>9</xdr:row>
          <xdr:rowOff>219075</xdr:rowOff>
        </xdr:to>
        <xdr:sp macro="" textlink="">
          <xdr:nvSpPr>
            <xdr:cNvPr id="35601" name="Check Box 785" hidden="1">
              <a:extLst>
                <a:ext uri="{63B3BB69-23CF-44E3-9099-C40C66FF867C}">
                  <a14:compatExt spid="_x0000_s35601"/>
                </a:ext>
                <a:ext uri="{FF2B5EF4-FFF2-40B4-BE49-F238E27FC236}">
                  <a16:creationId xmlns:a16="http://schemas.microsoft.com/office/drawing/2014/main" id="{00000000-0008-0000-0300-0000118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Vendor's Proposal (including itemized labor and materials)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1200150</xdr:colOff>
          <xdr:row>6</xdr:row>
          <xdr:rowOff>69850</xdr:rowOff>
        </xdr:from>
        <xdr:to>
          <xdr:col>3</xdr:col>
          <xdr:colOff>0</xdr:colOff>
          <xdr:row>7</xdr:row>
          <xdr:rowOff>0</xdr:rowOff>
        </xdr:to>
        <xdr:sp macro="" textlink="">
          <xdr:nvSpPr>
            <xdr:cNvPr id="35602" name="Check Box 786" hidden="1">
              <a:extLst>
                <a:ext uri="{63B3BB69-23CF-44E3-9099-C40C66FF867C}">
                  <a14:compatExt spid="_x0000_s35602"/>
                </a:ext>
                <a:ext uri="{FF2B5EF4-FFF2-40B4-BE49-F238E27FC236}">
                  <a16:creationId xmlns:a16="http://schemas.microsoft.com/office/drawing/2014/main" id="{00000000-0008-0000-0300-0000128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Signed Application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57150</xdr:rowOff>
        </xdr:from>
        <xdr:to>
          <xdr:col>2</xdr:col>
          <xdr:colOff>2133600</xdr:colOff>
          <xdr:row>15</xdr:row>
          <xdr:rowOff>47625</xdr:rowOff>
        </xdr:to>
        <xdr:sp macro="" textlink="">
          <xdr:nvSpPr>
            <xdr:cNvPr id="35605" name="Check Box 789" hidden="1">
              <a:extLst>
                <a:ext uri="{63B3BB69-23CF-44E3-9099-C40C66FF867C}">
                  <a14:compatExt spid="_x0000_s35605"/>
                </a:ext>
                <a:ext uri="{FF2B5EF4-FFF2-40B4-BE49-F238E27FC236}">
                  <a16:creationId xmlns:a16="http://schemas.microsoft.com/office/drawing/2014/main" id="{00000000-0008-0000-0300-0000158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Post-Inspection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965200</xdr:colOff>
          <xdr:row>15</xdr:row>
          <xdr:rowOff>69850</xdr:rowOff>
        </xdr:from>
        <xdr:to>
          <xdr:col>2</xdr:col>
          <xdr:colOff>3076575</xdr:colOff>
          <xdr:row>16</xdr:row>
          <xdr:rowOff>19050</xdr:rowOff>
        </xdr:to>
        <xdr:sp macro="" textlink="">
          <xdr:nvSpPr>
            <xdr:cNvPr id="35606" name="Check Box 790" hidden="1">
              <a:extLst>
                <a:ext uri="{63B3BB69-23CF-44E3-9099-C40C66FF867C}">
                  <a14:compatExt spid="_x0000_s35606"/>
                </a:ext>
                <a:ext uri="{FF2B5EF4-FFF2-40B4-BE49-F238E27FC236}">
                  <a16:creationId xmlns:a16="http://schemas.microsoft.com/office/drawing/2014/main" id="{00000000-0008-0000-0300-0000168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Photos of CFM25 and CFM75 test results from manometer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57150</xdr:rowOff>
        </xdr:from>
        <xdr:to>
          <xdr:col>2</xdr:col>
          <xdr:colOff>3067050</xdr:colOff>
          <xdr:row>12</xdr:row>
          <xdr:rowOff>0</xdr:rowOff>
        </xdr:to>
        <xdr:sp macro="" textlink="">
          <xdr:nvSpPr>
            <xdr:cNvPr id="35608" name="Check Box 792" hidden="1">
              <a:extLst>
                <a:ext uri="{63B3BB69-23CF-44E3-9099-C40C66FF867C}">
                  <a14:compatExt spid="_x0000_s35608"/>
                </a:ext>
                <a:ext uri="{FF2B5EF4-FFF2-40B4-BE49-F238E27FC236}">
                  <a16:creationId xmlns:a16="http://schemas.microsoft.com/office/drawing/2014/main" id="{00000000-0008-0000-0300-0000188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Photos of CFM25 and CFM75 test result from manometer</a:t>
              </a:r>
            </a:p>
          </xdr:txBody>
        </xdr:sp>
        <xdr:clientData/>
      </xdr:twoCellAnchor>
    </mc:Choice>
    <mc:Fallback/>
  </mc:AlternateContent>
  <xdr:twoCellAnchor editAs="oneCell">
    <xdr:from>
      <xdr:col>5</xdr:col>
      <xdr:colOff>247650</xdr:colOff>
      <xdr:row>0</xdr:row>
      <xdr:rowOff>85725</xdr:rowOff>
    </xdr:from>
    <xdr:to>
      <xdr:col>7</xdr:col>
      <xdr:colOff>1513205</xdr:colOff>
      <xdr:row>1</xdr:row>
      <xdr:rowOff>257030</xdr:rowOff>
    </xdr:to>
    <xdr:pic>
      <xdr:nvPicPr>
        <xdr:cNvPr id="3" name="Picture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62775" y="85725"/>
          <a:ext cx="4307205" cy="936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850900</xdr:colOff>
      <xdr:row>31</xdr:row>
      <xdr:rowOff>120650</xdr:rowOff>
    </xdr:from>
    <xdr:to>
      <xdr:col>3</xdr:col>
      <xdr:colOff>0</xdr:colOff>
      <xdr:row>32</xdr:row>
      <xdr:rowOff>31750</xdr:rowOff>
    </xdr:to>
    <xdr:pic>
      <xdr:nvPicPr>
        <xdr:cNvPr id="99895" name="Picture 37" descr="Monkey Face Clip Art">
          <a:extLst>
            <a:ext uri="{FF2B5EF4-FFF2-40B4-BE49-F238E27FC236}">
              <a16:creationId xmlns:a16="http://schemas.microsoft.com/office/drawing/2014/main" id="{00000000-0008-0000-0400-00003786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3050" y="11963400"/>
          <a:ext cx="952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584200</xdr:colOff>
      <xdr:row>0</xdr:row>
      <xdr:rowOff>222249</xdr:rowOff>
    </xdr:from>
    <xdr:to>
      <xdr:col>12</xdr:col>
      <xdr:colOff>234950</xdr:colOff>
      <xdr:row>1</xdr:row>
      <xdr:rowOff>299782</xdr:rowOff>
    </xdr:to>
    <xdr:pic>
      <xdr:nvPicPr>
        <xdr:cNvPr id="99896" name="Picture 2">
          <a:extLst>
            <a:ext uri="{FF2B5EF4-FFF2-40B4-BE49-F238E27FC236}">
              <a16:creationId xmlns:a16="http://schemas.microsoft.com/office/drawing/2014/main" id="{00000000-0008-0000-0400-0000388601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69200" y="222249"/>
          <a:ext cx="3429000" cy="768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96520</xdr:colOff>
      <xdr:row>0</xdr:row>
      <xdr:rowOff>257175</xdr:rowOff>
    </xdr:from>
    <xdr:to>
      <xdr:col>12</xdr:col>
      <xdr:colOff>0</xdr:colOff>
      <xdr:row>1</xdr:row>
      <xdr:rowOff>431655</xdr:rowOff>
    </xdr:to>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35770" y="257175"/>
          <a:ext cx="4304030" cy="936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845608</xdr:colOff>
      <xdr:row>0</xdr:row>
      <xdr:rowOff>66676</xdr:rowOff>
    </xdr:from>
    <xdr:to>
      <xdr:col>11</xdr:col>
      <xdr:colOff>236272</xdr:colOff>
      <xdr:row>1</xdr:row>
      <xdr:rowOff>645584</xdr:rowOff>
    </xdr:to>
    <xdr:pic>
      <xdr:nvPicPr>
        <xdr:cNvPr id="128127" name="Picture 1">
          <a:extLst>
            <a:ext uri="{FF2B5EF4-FFF2-40B4-BE49-F238E27FC236}">
              <a16:creationId xmlns:a16="http://schemas.microsoft.com/office/drawing/2014/main" id="{00000000-0008-0000-0600-00007FF401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90275" y="66676"/>
          <a:ext cx="3425030" cy="758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absolute">
        <xdr:from>
          <xdr:col>1</xdr:col>
          <xdr:colOff>38100</xdr:colOff>
          <xdr:row>14</xdr:row>
          <xdr:rowOff>165100</xdr:rowOff>
        </xdr:from>
        <xdr:to>
          <xdr:col>5</xdr:col>
          <xdr:colOff>0</xdr:colOff>
          <xdr:row>17</xdr:row>
          <xdr:rowOff>31750</xdr:rowOff>
        </xdr:to>
        <xdr:sp macro="" textlink="">
          <xdr:nvSpPr>
            <xdr:cNvPr id="80900" name="CheckBox1" hidden="1">
              <a:extLst>
                <a:ext uri="{63B3BB69-23CF-44E3-9099-C40C66FF867C}">
                  <a14:compatExt spid="_x0000_s80900"/>
                </a:ext>
                <a:ext uri="{FF2B5EF4-FFF2-40B4-BE49-F238E27FC236}">
                  <a16:creationId xmlns:a16="http://schemas.microsoft.com/office/drawing/2014/main" id="{00000000-0008-0000-0600-0000043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95250</xdr:rowOff>
        </xdr:from>
        <xdr:to>
          <xdr:col>10</xdr:col>
          <xdr:colOff>469900</xdr:colOff>
          <xdr:row>17</xdr:row>
          <xdr:rowOff>171450</xdr:rowOff>
        </xdr:to>
        <xdr:sp macro="" textlink="">
          <xdr:nvSpPr>
            <xdr:cNvPr id="80912" name="CommandButton1" hidden="1">
              <a:extLst>
                <a:ext uri="{63B3BB69-23CF-44E3-9099-C40C66FF867C}">
                  <a14:compatExt spid="_x0000_s80912"/>
                </a:ext>
                <a:ext uri="{FF2B5EF4-FFF2-40B4-BE49-F238E27FC236}">
                  <a16:creationId xmlns:a16="http://schemas.microsoft.com/office/drawing/2014/main" id="{00000000-0008-0000-0600-0000103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7</xdr:col>
      <xdr:colOff>687070</xdr:colOff>
      <xdr:row>0</xdr:row>
      <xdr:rowOff>485775</xdr:rowOff>
    </xdr:from>
    <xdr:to>
      <xdr:col>12</xdr:col>
      <xdr:colOff>0</xdr:colOff>
      <xdr:row>1</xdr:row>
      <xdr:rowOff>657080</xdr:rowOff>
    </xdr:to>
    <xdr:pic>
      <xdr:nvPicPr>
        <xdr:cNvPr id="3" name="Picture 2">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6895" y="485775"/>
          <a:ext cx="3713480" cy="936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687070</xdr:colOff>
      <xdr:row>0</xdr:row>
      <xdr:rowOff>380999</xdr:rowOff>
    </xdr:from>
    <xdr:to>
      <xdr:col>12</xdr:col>
      <xdr:colOff>0</xdr:colOff>
      <xdr:row>1</xdr:row>
      <xdr:rowOff>298449</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40195" y="380999"/>
          <a:ext cx="350393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s.lmco.com\mfc\Users\kmolloy\AppData\Local\Microsoft\Windows\Temporary%20Internet%20Files\Content.Outlook\RM4OY6JA\ResiCHTest0%2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s.lmco.com\dcs\home\Program%20Planning\Residential%20Planning\2017\Cool%20Homes\PSEGLI_2017%20Cool%20Homes%20LI%20Equipment%20Only_VERSION%202.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s.lmco.com\mfc\Clients\LIPA\PDI\Planning%20Folder\Programs\Commercial%20Efficiency\2014%20Planning\Completed%20New%20Logo%20Applications\Quarter%203\PSEGLI_2014%20Lighting%20Retrofit%20Worksheet%20VERSION%202014%202.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s.lmco.com\mfc\Users\kmolloy\AppData\Local\Microsoft\Windows\Temporary%20Internet%20Files\Content.Outlook\LHIPVBUS\CHdraft_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s.lmco.com\mfc\Clients\LIPA\PDI\Planning%20Folder\Programs\Commercial%20Efficiency\2012%20Final%20Applications\Quarter%203\Potential%20Quarter%202%20Updat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erences"/>
      <sheetName val="NC"/>
      <sheetName val="ERR"/>
      <sheetName val="Development"/>
      <sheetName val="Customer Information NC"/>
      <sheetName val="Ts and Cs NC"/>
      <sheetName val="Guidelines NC"/>
      <sheetName val="Required Documents NC"/>
      <sheetName val="HVAC NC"/>
      <sheetName val="Cool Roofs NC"/>
      <sheetName val="Compressed Air NC"/>
      <sheetName val="Lighting NC"/>
      <sheetName val="Kitchen NC"/>
      <sheetName val="VFD NC"/>
      <sheetName val="Refrigeration NC"/>
      <sheetName val="Chiller NC"/>
      <sheetName val="LPD NC"/>
      <sheetName val="Custom WB Eligibility"/>
      <sheetName val="LEEDGenEligibilityNC"/>
      <sheetName val="LEEDNC"/>
      <sheetName val="LEEDRetailMajorReno"/>
      <sheetName val="LEEDHealthcare"/>
      <sheetName val="LEEDInteriors"/>
      <sheetName val="LEEDCoreShell"/>
      <sheetName val="LEEDSchools"/>
      <sheetName val="Add Proposed 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5">
          <cell r="B15" t="str">
            <v>Water Cooled, positive displacement &lt; 75</v>
          </cell>
        </row>
        <row r="16">
          <cell r="B16" t="str">
            <v>Water Cooled, positive displacement ≥ 75 and &lt; 150</v>
          </cell>
        </row>
        <row r="17">
          <cell r="B17" t="str">
            <v>Water Cooled, positive displacement ≥ 150 and &lt; 300</v>
          </cell>
        </row>
      </sheetData>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stomer Information"/>
      <sheetName val="Application Form"/>
      <sheetName val="Required Documents"/>
      <sheetName val="Worksheet"/>
      <sheetName val="Qualifying_Index"/>
      <sheetName val="References"/>
      <sheetName val="Guidelines "/>
      <sheetName val="Naming"/>
      <sheetName val="Ts and Cs"/>
      <sheetName val="Project Completion Form"/>
      <sheetName val="Inspection Form"/>
      <sheetName val="ProposedEquipment0"/>
      <sheetName val="Tables"/>
      <sheetName val="Development"/>
    </sheetNames>
    <sheetDataSet>
      <sheetData sheetId="0" refreshError="1"/>
      <sheetData sheetId="1"/>
      <sheetData sheetId="2" refreshError="1"/>
      <sheetData sheetId="3">
        <row r="35">
          <cell r="E35" t="str">
            <v/>
          </cell>
        </row>
        <row r="49">
          <cell r="F49" t="str">
            <v/>
          </cell>
          <cell r="G49" t="str">
            <v/>
          </cell>
          <cell r="O49" t="str">
            <v/>
          </cell>
          <cell r="Q49" t="str">
            <v/>
          </cell>
        </row>
        <row r="52">
          <cell r="X52" t="str">
            <v/>
          </cell>
        </row>
        <row r="59">
          <cell r="F59" t="str">
            <v/>
          </cell>
          <cell r="G59" t="str">
            <v/>
          </cell>
          <cell r="O59" t="str">
            <v/>
          </cell>
          <cell r="Q59" t="str">
            <v/>
          </cell>
          <cell r="X59" t="str">
            <v/>
          </cell>
        </row>
        <row r="79">
          <cell r="C79" t="str">
            <v>Condenser</v>
          </cell>
          <cell r="O79" t="str">
            <v>Coil/Air Handler</v>
          </cell>
        </row>
        <row r="80">
          <cell r="C80" t="str">
            <v>Manufacturer</v>
          </cell>
          <cell r="F80" t="str">
            <v>Model Number</v>
          </cell>
          <cell r="G80" t="str">
            <v>Serial Number</v>
          </cell>
          <cell r="O80" t="str">
            <v>Manufacturer</v>
          </cell>
          <cell r="Q80" t="str">
            <v>Model Number</v>
          </cell>
          <cell r="T80" t="str">
            <v>Serial Number</v>
          </cell>
        </row>
      </sheetData>
      <sheetData sheetId="4" refreshError="1"/>
      <sheetData sheetId="5">
        <row r="2">
          <cell r="A2" t="str">
            <v>Ducted Split CAC</v>
          </cell>
          <cell r="C2" t="str">
            <v>YES</v>
          </cell>
        </row>
        <row r="3">
          <cell r="A3" t="str">
            <v>Ducted ASHP</v>
          </cell>
          <cell r="C3" t="str">
            <v>NO</v>
          </cell>
          <cell r="K3" t="str">
            <v>Existing</v>
          </cell>
          <cell r="P3">
            <v>100</v>
          </cell>
        </row>
        <row r="4">
          <cell r="A4" t="str">
            <v>Ductless Mini Split</v>
          </cell>
          <cell r="P4">
            <v>100</v>
          </cell>
        </row>
        <row r="5">
          <cell r="P5">
            <v>100</v>
          </cell>
        </row>
        <row r="6">
          <cell r="P6">
            <v>100</v>
          </cell>
        </row>
        <row r="10">
          <cell r="B10" t="str">
            <v>SEER</v>
          </cell>
          <cell r="D10" t="str">
            <v>EER</v>
          </cell>
          <cell r="F10" t="str">
            <v>COP/HSPF</v>
          </cell>
        </row>
        <row r="11">
          <cell r="B11" t="str">
            <v>Tier I</v>
          </cell>
          <cell r="C11" t="str">
            <v>Tier II</v>
          </cell>
          <cell r="D11" t="str">
            <v>Tier I</v>
          </cell>
          <cell r="F11" t="str">
            <v>Tier I</v>
          </cell>
        </row>
        <row r="12">
          <cell r="A12" t="str">
            <v>Ducted ASHP</v>
          </cell>
          <cell r="B12">
            <v>15</v>
          </cell>
          <cell r="C12">
            <v>16</v>
          </cell>
        </row>
        <row r="13">
          <cell r="A13" t="str">
            <v>Ducted Split CAC</v>
          </cell>
          <cell r="B13">
            <v>16</v>
          </cell>
          <cell r="C13">
            <v>17</v>
          </cell>
        </row>
        <row r="14">
          <cell r="A14" t="str">
            <v>Ductless Mini Split - AC Only</v>
          </cell>
          <cell r="B14">
            <v>18</v>
          </cell>
        </row>
        <row r="15">
          <cell r="A15" t="str">
            <v>Ductless Mini Split - HP</v>
          </cell>
          <cell r="B15">
            <v>18</v>
          </cell>
        </row>
      </sheetData>
      <sheetData sheetId="6" refreshError="1"/>
      <sheetData sheetId="7">
        <row r="3">
          <cell r="B3" t="str">
            <v>Cool Homes CAC</v>
          </cell>
          <cell r="C3" t="str">
            <v>Cooling - HVAC Equipment</v>
          </cell>
          <cell r="D3" t="str">
            <v>CH - EO CAC ER CF TIER 1</v>
          </cell>
        </row>
        <row r="4">
          <cell r="A4" t="str">
            <v>Early Retirement Ducted Split CAC Tier I</v>
          </cell>
          <cell r="B4" t="str">
            <v>Cool Homes CAC</v>
          </cell>
          <cell r="C4" t="str">
            <v>Cooling - HVAC Equipment</v>
          </cell>
          <cell r="D4" t="str">
            <v>CH - EO CAC ER TIER 1</v>
          </cell>
        </row>
        <row r="5">
          <cell r="A5" t="str">
            <v>Early Retirement Ducted Split CAC Tier II</v>
          </cell>
          <cell r="B5" t="str">
            <v>Cool Homes CAC</v>
          </cell>
          <cell r="C5" t="str">
            <v>Cooling - HVAC Equipment</v>
          </cell>
          <cell r="D5" t="str">
            <v>CH - EO CAC ER TIER 2</v>
          </cell>
        </row>
        <row r="6">
          <cell r="B6" t="str">
            <v>Cool Homes CAC</v>
          </cell>
          <cell r="C6" t="str">
            <v>Cooling - HVAC Equipment</v>
          </cell>
          <cell r="D6" t="str">
            <v>CH - EO CAC New CF TIER 1</v>
          </cell>
        </row>
        <row r="7">
          <cell r="A7" t="str">
            <v>New Ducted Split CAC Tier I</v>
          </cell>
          <cell r="B7" t="str">
            <v>Cool Homes CAC</v>
          </cell>
          <cell r="C7" t="str">
            <v>Cooling - HVAC Equipment</v>
          </cell>
          <cell r="D7" t="str">
            <v>CH - EO CAC New TIER 1</v>
          </cell>
        </row>
        <row r="8">
          <cell r="A8" t="str">
            <v>New Ducted Split CAC Tier II</v>
          </cell>
          <cell r="B8" t="str">
            <v>Cool Homes CAC</v>
          </cell>
          <cell r="C8" t="str">
            <v>Cooling - HVAC Equipment</v>
          </cell>
          <cell r="D8" t="str">
            <v>CH - EO CAC New TIER 2</v>
          </cell>
        </row>
        <row r="9">
          <cell r="B9" t="str">
            <v>Cool Homes CAC</v>
          </cell>
          <cell r="C9" t="str">
            <v>Cooling - HVAC Equipment</v>
          </cell>
          <cell r="D9" t="str">
            <v>CH - EO CAC Retrofit CF TIER 1</v>
          </cell>
        </row>
        <row r="10">
          <cell r="A10" t="str">
            <v>Retrofit Ducted Split CAC Tier I</v>
          </cell>
          <cell r="B10" t="str">
            <v>Cool Homes CAC</v>
          </cell>
          <cell r="C10" t="str">
            <v>Cooling - HVAC Equipment</v>
          </cell>
          <cell r="D10" t="str">
            <v>CH - EO CAC Retrofit TIER 1</v>
          </cell>
        </row>
        <row r="11">
          <cell r="A11" t="str">
            <v>Retrofit Ducted Split CAC Tier II</v>
          </cell>
          <cell r="B11" t="str">
            <v>Cool Homes CAC</v>
          </cell>
          <cell r="C11" t="str">
            <v>Cooling - HVAC Equipment</v>
          </cell>
          <cell r="D11" t="str">
            <v>CH - EO CAC Retrofit TIER 2</v>
          </cell>
        </row>
        <row r="12">
          <cell r="B12" t="str">
            <v>Cool Homes Ductless</v>
          </cell>
          <cell r="C12" t="str">
            <v>Cooling - HVAC Equipment</v>
          </cell>
          <cell r="D12" t="str">
            <v>CH - EO DUCTLESS ER CF TIER 1</v>
          </cell>
        </row>
        <row r="13">
          <cell r="B13" t="str">
            <v>Cool Homes Ductless</v>
          </cell>
          <cell r="C13" t="str">
            <v>Cooling - HVAC Equipment</v>
          </cell>
          <cell r="D13" t="str">
            <v>CH - EO DUCTLESS ER TIER 1</v>
          </cell>
        </row>
        <row r="14">
          <cell r="B14" t="str">
            <v>Cool Homes Ductless</v>
          </cell>
          <cell r="C14" t="str">
            <v>Cooling - HVAC Equipment</v>
          </cell>
          <cell r="D14" t="str">
            <v>CH - EO DUCTLESS ER TIER 2</v>
          </cell>
        </row>
        <row r="15">
          <cell r="A15" t="str">
            <v xml:space="preserve">Early Retirement Ductless Mini Split </v>
          </cell>
          <cell r="B15" t="str">
            <v>Cool Homes Ductless</v>
          </cell>
          <cell r="C15" t="str">
            <v>Cooling - HVAC Equipment</v>
          </cell>
          <cell r="D15" t="str">
            <v>CH - EO DUCTLESS ER TIER 3</v>
          </cell>
        </row>
        <row r="16">
          <cell r="B16" t="str">
            <v>Cool Homes Ductless</v>
          </cell>
          <cell r="C16" t="str">
            <v>Cooling - HVAC Equipment</v>
          </cell>
          <cell r="D16" t="str">
            <v>CH - EO DUCTLESS New CF TIER 1</v>
          </cell>
        </row>
        <row r="17">
          <cell r="B17" t="str">
            <v>Cool Homes Ductless</v>
          </cell>
          <cell r="C17" t="str">
            <v>Cooling - HVAC Equipment</v>
          </cell>
          <cell r="D17" t="str">
            <v>CH - EO DUCTLESS New TIER 1</v>
          </cell>
        </row>
        <row r="18">
          <cell r="B18" t="str">
            <v>Cool Homes Ductless</v>
          </cell>
          <cell r="C18" t="str">
            <v>Cooling - HVAC Equipment</v>
          </cell>
          <cell r="D18" t="str">
            <v>CH - EO DUCTLESS New TIER 2</v>
          </cell>
        </row>
        <row r="19">
          <cell r="A19" t="str">
            <v>New Ductless Mini Split</v>
          </cell>
          <cell r="B19" t="str">
            <v>Cool Homes Ductless</v>
          </cell>
          <cell r="C19" t="str">
            <v>Cooling - HVAC Equipment</v>
          </cell>
          <cell r="D19" t="str">
            <v>CH - EO DUCTLESS New TIER 3</v>
          </cell>
        </row>
        <row r="20">
          <cell r="B20" t="str">
            <v>Cool Homes Ductless</v>
          </cell>
          <cell r="C20" t="str">
            <v>Cooling - HVAC Equipment</v>
          </cell>
          <cell r="D20" t="str">
            <v>CH - EO DUCTLESS Retrofit CF TIER 1</v>
          </cell>
        </row>
        <row r="21">
          <cell r="B21" t="str">
            <v>Cool Homes Ductless</v>
          </cell>
          <cell r="C21" t="str">
            <v>Cooling - HVAC Equipment</v>
          </cell>
          <cell r="D21" t="str">
            <v>CH - EO DUCTLESS Retrofit TIER 1</v>
          </cell>
        </row>
        <row r="22">
          <cell r="B22" t="str">
            <v>Cool Homes Ductless</v>
          </cell>
          <cell r="C22" t="str">
            <v>Cooling - HVAC Equipment</v>
          </cell>
          <cell r="D22" t="str">
            <v>CH - EO DUCTLESS Retrofit TIER 2</v>
          </cell>
        </row>
        <row r="23">
          <cell r="A23" t="str">
            <v>Retrofit Ductless Mini Split</v>
          </cell>
          <cell r="B23" t="str">
            <v>Cool Homes Ductless</v>
          </cell>
          <cell r="C23" t="str">
            <v>Cooling - HVAC Equipment</v>
          </cell>
          <cell r="D23" t="str">
            <v>CH - EO DUCTLESS Retrofit TIER 3</v>
          </cell>
        </row>
        <row r="24">
          <cell r="B24" t="str">
            <v>Cool Homes Heat Pump</v>
          </cell>
          <cell r="C24" t="str">
            <v>Cooling - HVAC Equipment</v>
          </cell>
          <cell r="D24" t="str">
            <v>CH - EO GSHP TIER 1</v>
          </cell>
        </row>
        <row r="25">
          <cell r="B25" t="str">
            <v>Cool Homes Heat Pump</v>
          </cell>
          <cell r="C25" t="str">
            <v>Cooling - HVAC Equipment</v>
          </cell>
          <cell r="D25" t="str">
            <v>CH - EO GSHP TIER 2</v>
          </cell>
        </row>
        <row r="26">
          <cell r="B26" t="str">
            <v>Cool Homes Heat Pump</v>
          </cell>
          <cell r="C26" t="str">
            <v>Cooling - HVAC Equipment</v>
          </cell>
          <cell r="D26" t="str">
            <v>CH - EO GSHP TIER 3</v>
          </cell>
        </row>
        <row r="27">
          <cell r="B27" t="str">
            <v>Cool Homes Heat Pump</v>
          </cell>
          <cell r="C27" t="str">
            <v>Cooling - HVAC Equipment</v>
          </cell>
          <cell r="D27" t="str">
            <v>CH - EO HP ER CF TIER 1</v>
          </cell>
        </row>
        <row r="28">
          <cell r="A28" t="str">
            <v>Early Retirement Ducted ASHP Tier I</v>
          </cell>
          <cell r="B28" t="str">
            <v>Cool Homes Heat Pump</v>
          </cell>
          <cell r="C28" t="str">
            <v>Cooling - HVAC Equipment</v>
          </cell>
          <cell r="D28" t="str">
            <v>CH - EO HP ER TIER 1</v>
          </cell>
        </row>
        <row r="29">
          <cell r="A29" t="str">
            <v>Early Retirement Ducted ASHP Tier II</v>
          </cell>
          <cell r="B29" t="str">
            <v>Cool Homes Heat Pump</v>
          </cell>
          <cell r="C29" t="str">
            <v>Cooling - HVAC Equipment</v>
          </cell>
          <cell r="D29" t="str">
            <v>CH - EO HP ER TIER 2</v>
          </cell>
        </row>
        <row r="30">
          <cell r="B30" t="str">
            <v>Cool Homes Heat Pump</v>
          </cell>
          <cell r="C30" t="str">
            <v>Cooling - HVAC Equipment</v>
          </cell>
          <cell r="D30" t="str">
            <v>CH - EO HP New CF TIER 1</v>
          </cell>
        </row>
        <row r="31">
          <cell r="A31" t="str">
            <v>New Ducted ASHP Tier I</v>
          </cell>
          <cell r="B31" t="str">
            <v>Cool Homes Heat Pump</v>
          </cell>
          <cell r="C31" t="str">
            <v>Cooling - HVAC Equipment</v>
          </cell>
          <cell r="D31" t="str">
            <v>CH - EO HP New TIER 1</v>
          </cell>
        </row>
        <row r="32">
          <cell r="A32" t="str">
            <v>New Ducted ASHP Tier II</v>
          </cell>
          <cell r="B32" t="str">
            <v>Cool Homes Heat Pump</v>
          </cell>
          <cell r="C32" t="str">
            <v>Cooling - HVAC Equipment</v>
          </cell>
          <cell r="D32" t="str">
            <v>CH - EO HP New TIER 2</v>
          </cell>
        </row>
        <row r="33">
          <cell r="B33" t="str">
            <v>Cool Homes Heat Pump</v>
          </cell>
          <cell r="C33" t="str">
            <v>Cooling - HVAC Equipment</v>
          </cell>
          <cell r="D33" t="str">
            <v>CH - EO HP Retrofit CF TIER 1</v>
          </cell>
        </row>
        <row r="34">
          <cell r="A34" t="str">
            <v>Retrofit Ducted ASHP Tier I</v>
          </cell>
          <cell r="B34" t="str">
            <v>Cool Homes Heat Pump</v>
          </cell>
          <cell r="C34" t="str">
            <v>Cooling - HVAC Equipment</v>
          </cell>
          <cell r="D34" t="str">
            <v>CH - EO HP Retrofit TIER 1</v>
          </cell>
        </row>
        <row r="35">
          <cell r="A35" t="str">
            <v>Retrofit Ducted ASHP Tier II</v>
          </cell>
          <cell r="B35" t="str">
            <v>Cool Homes Heat Pump</v>
          </cell>
          <cell r="C35" t="str">
            <v>Cooling - HVAC Equipment</v>
          </cell>
          <cell r="D35" t="str">
            <v>CH - EO HP Retrofit TIER 2</v>
          </cell>
        </row>
        <row r="36">
          <cell r="B36" t="str">
            <v>Residential HVAC - Other</v>
          </cell>
          <cell r="C36" t="str">
            <v>Cooling - HVAC Equipment</v>
          </cell>
          <cell r="D36" t="str">
            <v>CH - EO Furnace Fan</v>
          </cell>
        </row>
        <row r="37">
          <cell r="A37" t="str">
            <v xml:space="preserve">Early Retirement Split CAC w/Furnace </v>
          </cell>
          <cell r="B37" t="str">
            <v>Residential HVAC - Other</v>
          </cell>
          <cell r="C37" t="str">
            <v>Cooling - HVAC Equipment</v>
          </cell>
          <cell r="D37" t="str">
            <v>CH - EO CAC New TIER 1 With Furance Fan</v>
          </cell>
        </row>
        <row r="38">
          <cell r="A38" t="str">
            <v xml:space="preserve">Retrofit Split CAC w/Furnace </v>
          </cell>
          <cell r="B38" t="str">
            <v>Residential HVAC - Other</v>
          </cell>
          <cell r="C38" t="str">
            <v>Cooling - HVAC Equipment</v>
          </cell>
          <cell r="D38" t="str">
            <v>CH - EO CAC Retrofit TIER 1 With Furnace Fan</v>
          </cell>
        </row>
        <row r="39">
          <cell r="A39" t="str">
            <v xml:space="preserve">Early Retirement Split CAC w/Furnace </v>
          </cell>
          <cell r="B39" t="str">
            <v>Residential HVAC - Other</v>
          </cell>
          <cell r="C39" t="str">
            <v>Cooling - HVAC Equipment</v>
          </cell>
          <cell r="D39" t="str">
            <v>CH - EO CAC ER TIER 1 With Furnace Fan</v>
          </cell>
        </row>
        <row r="40">
          <cell r="B40" t="str">
            <v>Residential HVAC - Other</v>
          </cell>
          <cell r="C40" t="str">
            <v>Cooling - HVAC Equipment</v>
          </cell>
          <cell r="D40" t="str">
            <v>CH - EO HP New TIER 1 With Furnace Fan</v>
          </cell>
        </row>
        <row r="41">
          <cell r="A41" t="str">
            <v>Retrofit ASHP w/Furnace Tier I</v>
          </cell>
          <cell r="B41" t="str">
            <v>Residential HVAC - Other</v>
          </cell>
          <cell r="C41" t="str">
            <v>Cooling - HVAC Equipment</v>
          </cell>
          <cell r="D41" t="str">
            <v>CH - EO HP Retrofit TIER 1 With Furnace Fan</v>
          </cell>
        </row>
        <row r="42">
          <cell r="A42" t="str">
            <v xml:space="preserve">Early Retirement ASHP w/Furnace </v>
          </cell>
          <cell r="B42" t="str">
            <v>Heat Pump</v>
          </cell>
          <cell r="C42" t="str">
            <v>Cooling - HVAC Equipment</v>
          </cell>
          <cell r="D42" t="str">
            <v>CH - EO HP ER TIER 1 With Furnace Fan</v>
          </cell>
        </row>
        <row r="43">
          <cell r="A43" t="str">
            <v>Retrofit Geothermal, DGX Tier I</v>
          </cell>
          <cell r="B43" t="str">
            <v>Cool Homes Heat Pump</v>
          </cell>
          <cell r="C43" t="str">
            <v>Cooling - HVAC Equipment</v>
          </cell>
          <cell r="D43" t="str">
            <v>CH - EO GSHP DGX Retrofit Tier 1</v>
          </cell>
        </row>
        <row r="44">
          <cell r="A44" t="str">
            <v>Retrofit Geothermal, DGX Tier II</v>
          </cell>
          <cell r="B44" t="str">
            <v>Cool Homes Heat Pump</v>
          </cell>
          <cell r="C44" t="str">
            <v>Cooling - HVAC Equipment</v>
          </cell>
          <cell r="D44" t="str">
            <v>CH - EO GSHP DGX Retrofit Tier 2</v>
          </cell>
        </row>
        <row r="45">
          <cell r="A45" t="str">
            <v>Retrofit Geothermal, Water to Air - Closed Tier I</v>
          </cell>
          <cell r="B45" t="str">
            <v>Cool Homes Heat Pump</v>
          </cell>
          <cell r="C45" t="str">
            <v>Cooling - HVAC Equipment</v>
          </cell>
          <cell r="D45" t="str">
            <v>CH - EO GSHP WTA Closed Retrofit Tier 1</v>
          </cell>
        </row>
        <row r="46">
          <cell r="A46" t="str">
            <v>Retrofit Geothermal, Water to Air - Closed Tier II</v>
          </cell>
          <cell r="B46" t="str">
            <v>Cool Homes Heat Pump</v>
          </cell>
          <cell r="C46" t="str">
            <v>Cooling - HVAC Equipment</v>
          </cell>
          <cell r="D46" t="str">
            <v>CH - EO GSHP WTA Closed Retrofit Tier 2</v>
          </cell>
        </row>
      </sheetData>
      <sheetData sheetId="8" refreshError="1"/>
      <sheetData sheetId="9" refreshError="1"/>
      <sheetData sheetId="10" refreshError="1"/>
      <sheetData sheetId="11" refreshError="1"/>
      <sheetData sheetId="12"/>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ustomer Inputs"/>
      <sheetName val="Summary"/>
      <sheetName val="Eligibility Table"/>
      <sheetName val="SSL Eligibility Table"/>
      <sheetName val="Device Code Legend"/>
      <sheetName val="Wattage Table"/>
      <sheetName val="AccountEquipment0"/>
      <sheetName val="References"/>
      <sheetName val="ProposedEquipment0"/>
      <sheetName val="LightingProducts"/>
      <sheetName val="Classes"/>
      <sheetName val="Calculations"/>
      <sheetName val="Development"/>
      <sheetName val="Pre_Inspection_Form"/>
      <sheetName val="Post_Inspection_Form"/>
      <sheetName val="Match_Table"/>
      <sheetName val="ADMIN"/>
      <sheetName val="ADMIN 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ignmentForm"/>
      <sheetName val="Required Documents EB"/>
      <sheetName val="Customer Information EB"/>
      <sheetName val="Application"/>
      <sheetName val="Worksheet"/>
      <sheetName val="References"/>
      <sheetName val="Tables"/>
      <sheetName val="Guidelines "/>
      <sheetName val="ProposedEquipment0"/>
      <sheetName val="Naming"/>
      <sheetName val="Ts and Cs"/>
      <sheetName val="Required Documents"/>
      <sheetName val="AIRFLOW FORM"/>
      <sheetName val="AIRFLOW FORM 2"/>
      <sheetName val="AIRFLOW FORM 3"/>
      <sheetName val="Project Completion Form"/>
      <sheetName val="Development"/>
    </sheetNames>
    <sheetDataSet>
      <sheetData sheetId="0"/>
      <sheetData sheetId="1"/>
      <sheetData sheetId="2"/>
      <sheetData sheetId="3" refreshError="1"/>
      <sheetData sheetId="4" refreshError="1">
        <row r="30">
          <cell r="I30" t="str">
            <v xml:space="preserve"> </v>
          </cell>
        </row>
        <row r="44">
          <cell r="I44" t="str">
            <v xml:space="preserve"> </v>
          </cell>
        </row>
        <row r="51">
          <cell r="I51" t="str">
            <v xml:space="preserve"> </v>
          </cell>
        </row>
        <row r="58">
          <cell r="I58" t="str">
            <v xml:space="preserve"> </v>
          </cell>
        </row>
      </sheetData>
      <sheetData sheetId="5">
        <row r="2">
          <cell r="F2" t="str">
            <v>Retrofit</v>
          </cell>
        </row>
      </sheetData>
      <sheetData sheetId="6" refreshError="1"/>
      <sheetData sheetId="7" refreshError="1"/>
      <sheetData sheetId="8" refreshError="1"/>
      <sheetData sheetId="9">
        <row r="3">
          <cell r="B3" t="str">
            <v>Cooling - HVAC Equipment</v>
          </cell>
        </row>
      </sheetData>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persons/person.xml><?xml version="1.0" encoding="utf-8"?>
<personList xmlns="http://schemas.microsoft.com/office/spreadsheetml/2018/threadedcomments" xmlns:x="http://schemas.openxmlformats.org/spreadsheetml/2006/main">
  <person displayName="Rush, Meaghan C (US)" id="{B32FC163-0908-4066-A8C3-9467E351481D}" userId="Rush, Meaghan C (US)" providerId="None"/>
  <person displayName="Rush, Meaghan" id="{4D993D6B-210A-49D0-9033-F324B7B7F275}" userId="S::MRush@trcsolutions.com::9b01920c-af91-4abd-8adc-891c4c2f3a54"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 dT="2020-09-17T18:55:27.59" personId="{4D993D6B-210A-49D0-9033-F324B7B7F275}" id="{12B74D5C-0962-4357-88DE-BFB48FE6A503}">
    <text>Do we want to keep this?</text>
  </threadedComment>
</ThreadedComments>
</file>

<file path=xl/threadedComments/threadedComment2.xml><?xml version="1.0" encoding="utf-8"?>
<ThreadedComments xmlns="http://schemas.microsoft.com/office/spreadsheetml/2018/threadedcomments" xmlns:x="http://schemas.openxmlformats.org/spreadsheetml/2006/main">
  <threadedComment ref="Z90" dT="2019-12-11T17:21:46.80" personId="{B32FC163-0908-4066-A8C3-9467E351481D}" id="{B6CAE899-28A6-42A0-857E-E6829BB8C4E2}">
    <text>If no difference is specified in TRM assume = attic</text>
  </threadedComment>
  <threadedComment ref="Z91" dT="2019-11-27T15:05:57.98" personId="{B32FC163-0908-4066-A8C3-9467E351481D}" id="{D097C49E-E7E8-4D8C-9254-087D41D7AC20}">
    <text>Per Steve W.-Crawl spaces will be have to be vented if unconditioned</text>
  </threadedComment>
</ThreadedComments>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18" Type="http://schemas.openxmlformats.org/officeDocument/2006/relationships/control" Target="../activeX/activeX8.xml"/><Relationship Id="rId3" Type="http://schemas.openxmlformats.org/officeDocument/2006/relationships/vmlDrawing" Target="../drawings/vmlDrawing1.vml"/><Relationship Id="rId21" Type="http://schemas.openxmlformats.org/officeDocument/2006/relationships/image" Target="../media/image9.emf"/><Relationship Id="rId7" Type="http://schemas.openxmlformats.org/officeDocument/2006/relationships/image" Target="../media/image2.emf"/><Relationship Id="rId12" Type="http://schemas.openxmlformats.org/officeDocument/2006/relationships/control" Target="../activeX/activeX5.xml"/><Relationship Id="rId17" Type="http://schemas.openxmlformats.org/officeDocument/2006/relationships/image" Target="../media/image7.emf"/><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ontrol" Target="../activeX/activeX9.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control" Target="../activeX/activeX4.xml"/><Relationship Id="rId19" Type="http://schemas.openxmlformats.org/officeDocument/2006/relationships/image" Target="../media/image8.emf"/><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25.xml"/><Relationship Id="rId18" Type="http://schemas.openxmlformats.org/officeDocument/2006/relationships/ctrlProp" Target="../ctrlProps/ctrlProp30.xml"/><Relationship Id="rId26" Type="http://schemas.openxmlformats.org/officeDocument/2006/relationships/ctrlProp" Target="../ctrlProps/ctrlProp38.xml"/><Relationship Id="rId39" Type="http://schemas.openxmlformats.org/officeDocument/2006/relationships/ctrlProp" Target="../ctrlProps/ctrlProp51.xml"/><Relationship Id="rId21" Type="http://schemas.openxmlformats.org/officeDocument/2006/relationships/ctrlProp" Target="../ctrlProps/ctrlProp33.xml"/><Relationship Id="rId34" Type="http://schemas.openxmlformats.org/officeDocument/2006/relationships/ctrlProp" Target="../ctrlProps/ctrlProp46.xml"/><Relationship Id="rId42" Type="http://schemas.openxmlformats.org/officeDocument/2006/relationships/ctrlProp" Target="../ctrlProps/ctrlProp54.xml"/><Relationship Id="rId7" Type="http://schemas.openxmlformats.org/officeDocument/2006/relationships/ctrlProp" Target="../ctrlProps/ctrlProp19.xml"/><Relationship Id="rId2" Type="http://schemas.openxmlformats.org/officeDocument/2006/relationships/drawing" Target="../drawings/drawing10.xml"/><Relationship Id="rId16" Type="http://schemas.openxmlformats.org/officeDocument/2006/relationships/ctrlProp" Target="../ctrlProps/ctrlProp28.xml"/><Relationship Id="rId29" Type="http://schemas.openxmlformats.org/officeDocument/2006/relationships/ctrlProp" Target="../ctrlProps/ctrlProp41.xml"/><Relationship Id="rId1" Type="http://schemas.openxmlformats.org/officeDocument/2006/relationships/printerSettings" Target="../printerSettings/printerSettings10.bin"/><Relationship Id="rId6" Type="http://schemas.openxmlformats.org/officeDocument/2006/relationships/ctrlProp" Target="../ctrlProps/ctrlProp18.xml"/><Relationship Id="rId11" Type="http://schemas.openxmlformats.org/officeDocument/2006/relationships/ctrlProp" Target="../ctrlProps/ctrlProp23.xml"/><Relationship Id="rId24" Type="http://schemas.openxmlformats.org/officeDocument/2006/relationships/ctrlProp" Target="../ctrlProps/ctrlProp36.xml"/><Relationship Id="rId32" Type="http://schemas.openxmlformats.org/officeDocument/2006/relationships/ctrlProp" Target="../ctrlProps/ctrlProp44.xml"/><Relationship Id="rId37" Type="http://schemas.openxmlformats.org/officeDocument/2006/relationships/ctrlProp" Target="../ctrlProps/ctrlProp49.xml"/><Relationship Id="rId40" Type="http://schemas.openxmlformats.org/officeDocument/2006/relationships/ctrlProp" Target="../ctrlProps/ctrlProp52.xml"/><Relationship Id="rId45" Type="http://schemas.openxmlformats.org/officeDocument/2006/relationships/comments" Target="../comments1.xml"/><Relationship Id="rId5" Type="http://schemas.openxmlformats.org/officeDocument/2006/relationships/ctrlProp" Target="../ctrlProps/ctrlProp17.xml"/><Relationship Id="rId15" Type="http://schemas.openxmlformats.org/officeDocument/2006/relationships/ctrlProp" Target="../ctrlProps/ctrlProp27.xml"/><Relationship Id="rId23" Type="http://schemas.openxmlformats.org/officeDocument/2006/relationships/ctrlProp" Target="../ctrlProps/ctrlProp35.xml"/><Relationship Id="rId28" Type="http://schemas.openxmlformats.org/officeDocument/2006/relationships/ctrlProp" Target="../ctrlProps/ctrlProp40.xml"/><Relationship Id="rId36" Type="http://schemas.openxmlformats.org/officeDocument/2006/relationships/ctrlProp" Target="../ctrlProps/ctrlProp48.xml"/><Relationship Id="rId10" Type="http://schemas.openxmlformats.org/officeDocument/2006/relationships/ctrlProp" Target="../ctrlProps/ctrlProp22.xml"/><Relationship Id="rId19" Type="http://schemas.openxmlformats.org/officeDocument/2006/relationships/ctrlProp" Target="../ctrlProps/ctrlProp31.xml"/><Relationship Id="rId31" Type="http://schemas.openxmlformats.org/officeDocument/2006/relationships/ctrlProp" Target="../ctrlProps/ctrlProp43.xml"/><Relationship Id="rId44" Type="http://schemas.openxmlformats.org/officeDocument/2006/relationships/ctrlProp" Target="../ctrlProps/ctrlProp56.xml"/><Relationship Id="rId4" Type="http://schemas.openxmlformats.org/officeDocument/2006/relationships/ctrlProp" Target="../ctrlProps/ctrlProp16.xml"/><Relationship Id="rId9" Type="http://schemas.openxmlformats.org/officeDocument/2006/relationships/ctrlProp" Target="../ctrlProps/ctrlProp21.xml"/><Relationship Id="rId14" Type="http://schemas.openxmlformats.org/officeDocument/2006/relationships/ctrlProp" Target="../ctrlProps/ctrlProp26.xml"/><Relationship Id="rId22" Type="http://schemas.openxmlformats.org/officeDocument/2006/relationships/ctrlProp" Target="../ctrlProps/ctrlProp34.xml"/><Relationship Id="rId27" Type="http://schemas.openxmlformats.org/officeDocument/2006/relationships/ctrlProp" Target="../ctrlProps/ctrlProp39.xml"/><Relationship Id="rId30" Type="http://schemas.openxmlformats.org/officeDocument/2006/relationships/ctrlProp" Target="../ctrlProps/ctrlProp42.xml"/><Relationship Id="rId35" Type="http://schemas.openxmlformats.org/officeDocument/2006/relationships/ctrlProp" Target="../ctrlProps/ctrlProp47.xml"/><Relationship Id="rId43" Type="http://schemas.openxmlformats.org/officeDocument/2006/relationships/ctrlProp" Target="../ctrlProps/ctrlProp55.xml"/><Relationship Id="rId8" Type="http://schemas.openxmlformats.org/officeDocument/2006/relationships/ctrlProp" Target="../ctrlProps/ctrlProp20.xml"/><Relationship Id="rId3" Type="http://schemas.openxmlformats.org/officeDocument/2006/relationships/vmlDrawing" Target="../drawings/vmlDrawing5.vml"/><Relationship Id="rId12" Type="http://schemas.openxmlformats.org/officeDocument/2006/relationships/ctrlProp" Target="../ctrlProps/ctrlProp24.xml"/><Relationship Id="rId17" Type="http://schemas.openxmlformats.org/officeDocument/2006/relationships/ctrlProp" Target="../ctrlProps/ctrlProp29.xml"/><Relationship Id="rId25" Type="http://schemas.openxmlformats.org/officeDocument/2006/relationships/ctrlProp" Target="../ctrlProps/ctrlProp37.xml"/><Relationship Id="rId33" Type="http://schemas.openxmlformats.org/officeDocument/2006/relationships/ctrlProp" Target="../ctrlProps/ctrlProp45.xml"/><Relationship Id="rId38" Type="http://schemas.openxmlformats.org/officeDocument/2006/relationships/ctrlProp" Target="../ctrlProps/ctrlProp50.xml"/><Relationship Id="rId46" Type="http://schemas.microsoft.com/office/2017/10/relationships/threadedComment" Target="../threadedComments/threadedComment1.xml"/><Relationship Id="rId20" Type="http://schemas.openxmlformats.org/officeDocument/2006/relationships/ctrlProp" Target="../ctrlProps/ctrlProp32.xml"/><Relationship Id="rId41" Type="http://schemas.openxmlformats.org/officeDocument/2006/relationships/ctrlProp" Target="../ctrlProps/ctrlProp53.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psegliny.com/businessandcontractorservices/businessandcommercialsavings/rebates" TargetMode="Externa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ctrlProp" Target="../ctrlProps/ctrlProp59.xml"/><Relationship Id="rId5" Type="http://schemas.openxmlformats.org/officeDocument/2006/relationships/ctrlProp" Target="../ctrlProps/ctrlProp58.xml"/><Relationship Id="rId4" Type="http://schemas.openxmlformats.org/officeDocument/2006/relationships/ctrlProp" Target="../ctrlProps/ctrlProp57.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3.xml"/><Relationship Id="rId1" Type="http://schemas.openxmlformats.org/officeDocument/2006/relationships/printerSettings" Target="../printerSettings/printerSettings13.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3" Type="http://schemas.openxmlformats.org/officeDocument/2006/relationships/ctrlProp" Target="../ctrlProps/ctrlProp67.xml"/><Relationship Id="rId18" Type="http://schemas.openxmlformats.org/officeDocument/2006/relationships/ctrlProp" Target="../ctrlProps/ctrlProp72.xml"/><Relationship Id="rId26" Type="http://schemas.openxmlformats.org/officeDocument/2006/relationships/ctrlProp" Target="../ctrlProps/ctrlProp80.xml"/><Relationship Id="rId3" Type="http://schemas.openxmlformats.org/officeDocument/2006/relationships/vmlDrawing" Target="../drawings/vmlDrawing9.vml"/><Relationship Id="rId21" Type="http://schemas.openxmlformats.org/officeDocument/2006/relationships/ctrlProp" Target="../ctrlProps/ctrlProp75.xml"/><Relationship Id="rId7" Type="http://schemas.openxmlformats.org/officeDocument/2006/relationships/ctrlProp" Target="../ctrlProps/ctrlProp61.xml"/><Relationship Id="rId12" Type="http://schemas.openxmlformats.org/officeDocument/2006/relationships/ctrlProp" Target="../ctrlProps/ctrlProp66.xml"/><Relationship Id="rId17" Type="http://schemas.openxmlformats.org/officeDocument/2006/relationships/ctrlProp" Target="../ctrlProps/ctrlProp71.xml"/><Relationship Id="rId25" Type="http://schemas.openxmlformats.org/officeDocument/2006/relationships/ctrlProp" Target="../ctrlProps/ctrlProp79.xml"/><Relationship Id="rId33" Type="http://schemas.openxmlformats.org/officeDocument/2006/relationships/ctrlProp" Target="../ctrlProps/ctrlProp87.xml"/><Relationship Id="rId2" Type="http://schemas.openxmlformats.org/officeDocument/2006/relationships/drawing" Target="../drawings/drawing15.xml"/><Relationship Id="rId16" Type="http://schemas.openxmlformats.org/officeDocument/2006/relationships/ctrlProp" Target="../ctrlProps/ctrlProp70.xml"/><Relationship Id="rId20" Type="http://schemas.openxmlformats.org/officeDocument/2006/relationships/ctrlProp" Target="../ctrlProps/ctrlProp74.xml"/><Relationship Id="rId29" Type="http://schemas.openxmlformats.org/officeDocument/2006/relationships/ctrlProp" Target="../ctrlProps/ctrlProp83.xml"/><Relationship Id="rId1" Type="http://schemas.openxmlformats.org/officeDocument/2006/relationships/printerSettings" Target="../printerSettings/printerSettings18.bin"/><Relationship Id="rId6" Type="http://schemas.openxmlformats.org/officeDocument/2006/relationships/ctrlProp" Target="../ctrlProps/ctrlProp60.xml"/><Relationship Id="rId11" Type="http://schemas.openxmlformats.org/officeDocument/2006/relationships/ctrlProp" Target="../ctrlProps/ctrlProp65.xml"/><Relationship Id="rId24" Type="http://schemas.openxmlformats.org/officeDocument/2006/relationships/ctrlProp" Target="../ctrlProps/ctrlProp78.xml"/><Relationship Id="rId32" Type="http://schemas.openxmlformats.org/officeDocument/2006/relationships/ctrlProp" Target="../ctrlProps/ctrlProp86.xml"/><Relationship Id="rId5" Type="http://schemas.openxmlformats.org/officeDocument/2006/relationships/image" Target="../media/image37.emf"/><Relationship Id="rId15" Type="http://schemas.openxmlformats.org/officeDocument/2006/relationships/ctrlProp" Target="../ctrlProps/ctrlProp69.xml"/><Relationship Id="rId23" Type="http://schemas.openxmlformats.org/officeDocument/2006/relationships/ctrlProp" Target="../ctrlProps/ctrlProp77.xml"/><Relationship Id="rId28" Type="http://schemas.openxmlformats.org/officeDocument/2006/relationships/ctrlProp" Target="../ctrlProps/ctrlProp82.xml"/><Relationship Id="rId10" Type="http://schemas.openxmlformats.org/officeDocument/2006/relationships/ctrlProp" Target="../ctrlProps/ctrlProp64.xml"/><Relationship Id="rId19" Type="http://schemas.openxmlformats.org/officeDocument/2006/relationships/ctrlProp" Target="../ctrlProps/ctrlProp73.xml"/><Relationship Id="rId31" Type="http://schemas.openxmlformats.org/officeDocument/2006/relationships/ctrlProp" Target="../ctrlProps/ctrlProp85.xml"/><Relationship Id="rId4" Type="http://schemas.openxmlformats.org/officeDocument/2006/relationships/control" Target="../activeX/activeX12.xml"/><Relationship Id="rId9" Type="http://schemas.openxmlformats.org/officeDocument/2006/relationships/ctrlProp" Target="../ctrlProps/ctrlProp63.xml"/><Relationship Id="rId14" Type="http://schemas.openxmlformats.org/officeDocument/2006/relationships/ctrlProp" Target="../ctrlProps/ctrlProp68.xml"/><Relationship Id="rId22" Type="http://schemas.openxmlformats.org/officeDocument/2006/relationships/ctrlProp" Target="../ctrlProps/ctrlProp76.xml"/><Relationship Id="rId27" Type="http://schemas.openxmlformats.org/officeDocument/2006/relationships/ctrlProp" Target="../ctrlProps/ctrlProp81.xml"/><Relationship Id="rId30" Type="http://schemas.openxmlformats.org/officeDocument/2006/relationships/ctrlProp" Target="../ctrlProps/ctrlProp84.xml"/><Relationship Id="rId8" Type="http://schemas.openxmlformats.org/officeDocument/2006/relationships/ctrlProp" Target="../ctrlProps/ctrlProp62.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yserda.ny.gov/ny/disadvantaged-communities" TargetMode="Externa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13" Type="http://schemas.openxmlformats.org/officeDocument/2006/relationships/image" Target="../media/image42.emf"/><Relationship Id="rId18" Type="http://schemas.openxmlformats.org/officeDocument/2006/relationships/ctrlProp" Target="../ctrlProps/ctrlProp92.xml"/><Relationship Id="rId26" Type="http://schemas.openxmlformats.org/officeDocument/2006/relationships/ctrlProp" Target="../ctrlProps/ctrlProp100.xml"/><Relationship Id="rId39" Type="http://schemas.openxmlformats.org/officeDocument/2006/relationships/ctrlProp" Target="../ctrlProps/ctrlProp113.xml"/><Relationship Id="rId21" Type="http://schemas.openxmlformats.org/officeDocument/2006/relationships/ctrlProp" Target="../ctrlProps/ctrlProp95.xml"/><Relationship Id="rId34" Type="http://schemas.openxmlformats.org/officeDocument/2006/relationships/ctrlProp" Target="../ctrlProps/ctrlProp108.xml"/><Relationship Id="rId42" Type="http://schemas.openxmlformats.org/officeDocument/2006/relationships/ctrlProp" Target="../ctrlProps/ctrlProp116.xml"/><Relationship Id="rId47" Type="http://schemas.openxmlformats.org/officeDocument/2006/relationships/ctrlProp" Target="../ctrlProps/ctrlProp121.xml"/><Relationship Id="rId7" Type="http://schemas.openxmlformats.org/officeDocument/2006/relationships/image" Target="../media/image39.emf"/><Relationship Id="rId2" Type="http://schemas.openxmlformats.org/officeDocument/2006/relationships/drawing" Target="../drawings/drawing16.xml"/><Relationship Id="rId16" Type="http://schemas.openxmlformats.org/officeDocument/2006/relationships/ctrlProp" Target="../ctrlProps/ctrlProp90.xml"/><Relationship Id="rId29" Type="http://schemas.openxmlformats.org/officeDocument/2006/relationships/ctrlProp" Target="../ctrlProps/ctrlProp103.xml"/><Relationship Id="rId1" Type="http://schemas.openxmlformats.org/officeDocument/2006/relationships/printerSettings" Target="../printerSettings/printerSettings19.bin"/><Relationship Id="rId6" Type="http://schemas.openxmlformats.org/officeDocument/2006/relationships/control" Target="../activeX/activeX14.xml"/><Relationship Id="rId11" Type="http://schemas.openxmlformats.org/officeDocument/2006/relationships/image" Target="../media/image41.emf"/><Relationship Id="rId24" Type="http://schemas.openxmlformats.org/officeDocument/2006/relationships/ctrlProp" Target="../ctrlProps/ctrlProp98.xml"/><Relationship Id="rId32" Type="http://schemas.openxmlformats.org/officeDocument/2006/relationships/ctrlProp" Target="../ctrlProps/ctrlProp106.xml"/><Relationship Id="rId37" Type="http://schemas.openxmlformats.org/officeDocument/2006/relationships/ctrlProp" Target="../ctrlProps/ctrlProp111.xml"/><Relationship Id="rId40" Type="http://schemas.openxmlformats.org/officeDocument/2006/relationships/ctrlProp" Target="../ctrlProps/ctrlProp114.xml"/><Relationship Id="rId45" Type="http://schemas.openxmlformats.org/officeDocument/2006/relationships/ctrlProp" Target="../ctrlProps/ctrlProp119.xml"/><Relationship Id="rId5" Type="http://schemas.openxmlformats.org/officeDocument/2006/relationships/image" Target="../media/image38.emf"/><Relationship Id="rId15" Type="http://schemas.openxmlformats.org/officeDocument/2006/relationships/ctrlProp" Target="../ctrlProps/ctrlProp89.xml"/><Relationship Id="rId23" Type="http://schemas.openxmlformats.org/officeDocument/2006/relationships/ctrlProp" Target="../ctrlProps/ctrlProp97.xml"/><Relationship Id="rId28" Type="http://schemas.openxmlformats.org/officeDocument/2006/relationships/ctrlProp" Target="../ctrlProps/ctrlProp102.xml"/><Relationship Id="rId36" Type="http://schemas.openxmlformats.org/officeDocument/2006/relationships/ctrlProp" Target="../ctrlProps/ctrlProp110.xml"/><Relationship Id="rId10" Type="http://schemas.openxmlformats.org/officeDocument/2006/relationships/control" Target="../activeX/activeX16.xml"/><Relationship Id="rId19" Type="http://schemas.openxmlformats.org/officeDocument/2006/relationships/ctrlProp" Target="../ctrlProps/ctrlProp93.xml"/><Relationship Id="rId31" Type="http://schemas.openxmlformats.org/officeDocument/2006/relationships/ctrlProp" Target="../ctrlProps/ctrlProp105.xml"/><Relationship Id="rId44" Type="http://schemas.openxmlformats.org/officeDocument/2006/relationships/ctrlProp" Target="../ctrlProps/ctrlProp118.xml"/><Relationship Id="rId4" Type="http://schemas.openxmlformats.org/officeDocument/2006/relationships/control" Target="../activeX/activeX13.xml"/><Relationship Id="rId9" Type="http://schemas.openxmlformats.org/officeDocument/2006/relationships/image" Target="../media/image40.emf"/><Relationship Id="rId14" Type="http://schemas.openxmlformats.org/officeDocument/2006/relationships/ctrlProp" Target="../ctrlProps/ctrlProp88.xml"/><Relationship Id="rId22" Type="http://schemas.openxmlformats.org/officeDocument/2006/relationships/ctrlProp" Target="../ctrlProps/ctrlProp96.xml"/><Relationship Id="rId27" Type="http://schemas.openxmlformats.org/officeDocument/2006/relationships/ctrlProp" Target="../ctrlProps/ctrlProp101.xml"/><Relationship Id="rId30" Type="http://schemas.openxmlformats.org/officeDocument/2006/relationships/ctrlProp" Target="../ctrlProps/ctrlProp104.xml"/><Relationship Id="rId35" Type="http://schemas.openxmlformats.org/officeDocument/2006/relationships/ctrlProp" Target="../ctrlProps/ctrlProp109.xml"/><Relationship Id="rId43" Type="http://schemas.openxmlformats.org/officeDocument/2006/relationships/ctrlProp" Target="../ctrlProps/ctrlProp117.xml"/><Relationship Id="rId48" Type="http://schemas.openxmlformats.org/officeDocument/2006/relationships/ctrlProp" Target="../ctrlProps/ctrlProp122.xml"/><Relationship Id="rId8" Type="http://schemas.openxmlformats.org/officeDocument/2006/relationships/control" Target="../activeX/activeX15.xml"/><Relationship Id="rId3" Type="http://schemas.openxmlformats.org/officeDocument/2006/relationships/vmlDrawing" Target="../drawings/vmlDrawing10.vml"/><Relationship Id="rId12" Type="http://schemas.openxmlformats.org/officeDocument/2006/relationships/control" Target="../activeX/activeX17.xml"/><Relationship Id="rId17" Type="http://schemas.openxmlformats.org/officeDocument/2006/relationships/ctrlProp" Target="../ctrlProps/ctrlProp91.xml"/><Relationship Id="rId25" Type="http://schemas.openxmlformats.org/officeDocument/2006/relationships/ctrlProp" Target="../ctrlProps/ctrlProp99.xml"/><Relationship Id="rId33" Type="http://schemas.openxmlformats.org/officeDocument/2006/relationships/ctrlProp" Target="../ctrlProps/ctrlProp107.xml"/><Relationship Id="rId38" Type="http://schemas.openxmlformats.org/officeDocument/2006/relationships/ctrlProp" Target="../ctrlProps/ctrlProp112.xml"/><Relationship Id="rId46" Type="http://schemas.openxmlformats.org/officeDocument/2006/relationships/ctrlProp" Target="../ctrlProps/ctrlProp120.xml"/><Relationship Id="rId20" Type="http://schemas.openxmlformats.org/officeDocument/2006/relationships/ctrlProp" Target="../ctrlProps/ctrlProp94.xml"/><Relationship Id="rId41" Type="http://schemas.openxmlformats.org/officeDocument/2006/relationships/ctrlProp" Target="../ctrlProps/ctrlProp115.xml"/></Relationships>
</file>

<file path=xl/worksheets/_rels/sheet21.xml.rels><?xml version="1.0" encoding="UTF-8" standalone="yes"?>
<Relationships xmlns="http://schemas.openxmlformats.org/package/2006/relationships"><Relationship Id="rId13" Type="http://schemas.openxmlformats.org/officeDocument/2006/relationships/image" Target="../media/image48.emf"/><Relationship Id="rId18" Type="http://schemas.openxmlformats.org/officeDocument/2006/relationships/ctrlProp" Target="../ctrlProps/ctrlProp127.xml"/><Relationship Id="rId26" Type="http://schemas.openxmlformats.org/officeDocument/2006/relationships/ctrlProp" Target="../ctrlProps/ctrlProp135.xml"/><Relationship Id="rId3" Type="http://schemas.openxmlformats.org/officeDocument/2006/relationships/vmlDrawing" Target="../drawings/vmlDrawing11.vml"/><Relationship Id="rId21" Type="http://schemas.openxmlformats.org/officeDocument/2006/relationships/ctrlProp" Target="../ctrlProps/ctrlProp130.xml"/><Relationship Id="rId34" Type="http://schemas.openxmlformats.org/officeDocument/2006/relationships/ctrlProp" Target="../ctrlProps/ctrlProp143.xml"/><Relationship Id="rId7" Type="http://schemas.openxmlformats.org/officeDocument/2006/relationships/image" Target="../media/image45.emf"/><Relationship Id="rId12" Type="http://schemas.openxmlformats.org/officeDocument/2006/relationships/control" Target="../activeX/activeX22.xml"/><Relationship Id="rId17" Type="http://schemas.openxmlformats.org/officeDocument/2006/relationships/ctrlProp" Target="../ctrlProps/ctrlProp126.xml"/><Relationship Id="rId25" Type="http://schemas.openxmlformats.org/officeDocument/2006/relationships/ctrlProp" Target="../ctrlProps/ctrlProp134.xml"/><Relationship Id="rId33" Type="http://schemas.openxmlformats.org/officeDocument/2006/relationships/ctrlProp" Target="../ctrlProps/ctrlProp142.xml"/><Relationship Id="rId2" Type="http://schemas.openxmlformats.org/officeDocument/2006/relationships/drawing" Target="../drawings/drawing17.xml"/><Relationship Id="rId16" Type="http://schemas.openxmlformats.org/officeDocument/2006/relationships/ctrlProp" Target="../ctrlProps/ctrlProp125.xml"/><Relationship Id="rId20" Type="http://schemas.openxmlformats.org/officeDocument/2006/relationships/ctrlProp" Target="../ctrlProps/ctrlProp129.xml"/><Relationship Id="rId29" Type="http://schemas.openxmlformats.org/officeDocument/2006/relationships/ctrlProp" Target="../ctrlProps/ctrlProp138.xml"/><Relationship Id="rId1" Type="http://schemas.openxmlformats.org/officeDocument/2006/relationships/printerSettings" Target="../printerSettings/printerSettings20.bin"/><Relationship Id="rId6" Type="http://schemas.openxmlformats.org/officeDocument/2006/relationships/control" Target="../activeX/activeX19.xml"/><Relationship Id="rId11" Type="http://schemas.openxmlformats.org/officeDocument/2006/relationships/image" Target="../media/image47.emf"/><Relationship Id="rId24" Type="http://schemas.openxmlformats.org/officeDocument/2006/relationships/ctrlProp" Target="../ctrlProps/ctrlProp133.xml"/><Relationship Id="rId32" Type="http://schemas.openxmlformats.org/officeDocument/2006/relationships/ctrlProp" Target="../ctrlProps/ctrlProp141.xml"/><Relationship Id="rId5" Type="http://schemas.openxmlformats.org/officeDocument/2006/relationships/image" Target="../media/image44.emf"/><Relationship Id="rId15" Type="http://schemas.openxmlformats.org/officeDocument/2006/relationships/ctrlProp" Target="../ctrlProps/ctrlProp124.xml"/><Relationship Id="rId23" Type="http://schemas.openxmlformats.org/officeDocument/2006/relationships/ctrlProp" Target="../ctrlProps/ctrlProp132.xml"/><Relationship Id="rId28" Type="http://schemas.openxmlformats.org/officeDocument/2006/relationships/ctrlProp" Target="../ctrlProps/ctrlProp137.xml"/><Relationship Id="rId10" Type="http://schemas.openxmlformats.org/officeDocument/2006/relationships/control" Target="../activeX/activeX21.xml"/><Relationship Id="rId19" Type="http://schemas.openxmlformats.org/officeDocument/2006/relationships/ctrlProp" Target="../ctrlProps/ctrlProp128.xml"/><Relationship Id="rId31" Type="http://schemas.openxmlformats.org/officeDocument/2006/relationships/ctrlProp" Target="../ctrlProps/ctrlProp140.xml"/><Relationship Id="rId4" Type="http://schemas.openxmlformats.org/officeDocument/2006/relationships/control" Target="../activeX/activeX18.xml"/><Relationship Id="rId9" Type="http://schemas.openxmlformats.org/officeDocument/2006/relationships/image" Target="../media/image46.emf"/><Relationship Id="rId14" Type="http://schemas.openxmlformats.org/officeDocument/2006/relationships/ctrlProp" Target="../ctrlProps/ctrlProp123.xml"/><Relationship Id="rId22" Type="http://schemas.openxmlformats.org/officeDocument/2006/relationships/ctrlProp" Target="../ctrlProps/ctrlProp131.xml"/><Relationship Id="rId27" Type="http://schemas.openxmlformats.org/officeDocument/2006/relationships/ctrlProp" Target="../ctrlProps/ctrlProp136.xml"/><Relationship Id="rId30" Type="http://schemas.openxmlformats.org/officeDocument/2006/relationships/ctrlProp" Target="../ctrlProps/ctrlProp139.xml"/><Relationship Id="rId8" Type="http://schemas.openxmlformats.org/officeDocument/2006/relationships/control" Target="../activeX/activeX20.xml"/></Relationships>
</file>

<file path=xl/worksheets/_rels/sheet22.xml.rels><?xml version="1.0" encoding="UTF-8" standalone="yes"?>
<Relationships xmlns="http://schemas.openxmlformats.org/package/2006/relationships"><Relationship Id="rId13" Type="http://schemas.openxmlformats.org/officeDocument/2006/relationships/image" Target="../media/image53.emf"/><Relationship Id="rId18" Type="http://schemas.openxmlformats.org/officeDocument/2006/relationships/ctrlProp" Target="../ctrlProps/ctrlProp148.xml"/><Relationship Id="rId26" Type="http://schemas.openxmlformats.org/officeDocument/2006/relationships/ctrlProp" Target="../ctrlProps/ctrlProp156.xml"/><Relationship Id="rId39" Type="http://schemas.openxmlformats.org/officeDocument/2006/relationships/ctrlProp" Target="../ctrlProps/ctrlProp169.xml"/><Relationship Id="rId21" Type="http://schemas.openxmlformats.org/officeDocument/2006/relationships/ctrlProp" Target="../ctrlProps/ctrlProp151.xml"/><Relationship Id="rId34" Type="http://schemas.openxmlformats.org/officeDocument/2006/relationships/ctrlProp" Target="../ctrlProps/ctrlProp164.xml"/><Relationship Id="rId42" Type="http://schemas.openxmlformats.org/officeDocument/2006/relationships/ctrlProp" Target="../ctrlProps/ctrlProp172.xml"/><Relationship Id="rId7" Type="http://schemas.openxmlformats.org/officeDocument/2006/relationships/image" Target="../media/image50.emf"/><Relationship Id="rId2" Type="http://schemas.openxmlformats.org/officeDocument/2006/relationships/drawing" Target="../drawings/drawing18.xml"/><Relationship Id="rId16" Type="http://schemas.openxmlformats.org/officeDocument/2006/relationships/ctrlProp" Target="../ctrlProps/ctrlProp146.xml"/><Relationship Id="rId20" Type="http://schemas.openxmlformats.org/officeDocument/2006/relationships/ctrlProp" Target="../ctrlProps/ctrlProp150.xml"/><Relationship Id="rId29" Type="http://schemas.openxmlformats.org/officeDocument/2006/relationships/ctrlProp" Target="../ctrlProps/ctrlProp159.xml"/><Relationship Id="rId41" Type="http://schemas.openxmlformats.org/officeDocument/2006/relationships/ctrlProp" Target="../ctrlProps/ctrlProp171.xml"/><Relationship Id="rId1" Type="http://schemas.openxmlformats.org/officeDocument/2006/relationships/printerSettings" Target="../printerSettings/printerSettings21.bin"/><Relationship Id="rId6" Type="http://schemas.openxmlformats.org/officeDocument/2006/relationships/control" Target="../activeX/activeX24.xml"/><Relationship Id="rId11" Type="http://schemas.openxmlformats.org/officeDocument/2006/relationships/image" Target="../media/image52.emf"/><Relationship Id="rId24" Type="http://schemas.openxmlformats.org/officeDocument/2006/relationships/ctrlProp" Target="../ctrlProps/ctrlProp154.xml"/><Relationship Id="rId32" Type="http://schemas.openxmlformats.org/officeDocument/2006/relationships/ctrlProp" Target="../ctrlProps/ctrlProp162.xml"/><Relationship Id="rId37" Type="http://schemas.openxmlformats.org/officeDocument/2006/relationships/ctrlProp" Target="../ctrlProps/ctrlProp167.xml"/><Relationship Id="rId40" Type="http://schemas.openxmlformats.org/officeDocument/2006/relationships/ctrlProp" Target="../ctrlProps/ctrlProp170.xml"/><Relationship Id="rId5" Type="http://schemas.openxmlformats.org/officeDocument/2006/relationships/image" Target="../media/image49.emf"/><Relationship Id="rId15" Type="http://schemas.openxmlformats.org/officeDocument/2006/relationships/ctrlProp" Target="../ctrlProps/ctrlProp145.xml"/><Relationship Id="rId23" Type="http://schemas.openxmlformats.org/officeDocument/2006/relationships/ctrlProp" Target="../ctrlProps/ctrlProp153.xml"/><Relationship Id="rId28" Type="http://schemas.openxmlformats.org/officeDocument/2006/relationships/ctrlProp" Target="../ctrlProps/ctrlProp158.xml"/><Relationship Id="rId36" Type="http://schemas.openxmlformats.org/officeDocument/2006/relationships/ctrlProp" Target="../ctrlProps/ctrlProp166.xml"/><Relationship Id="rId10" Type="http://schemas.openxmlformats.org/officeDocument/2006/relationships/control" Target="../activeX/activeX26.xml"/><Relationship Id="rId19" Type="http://schemas.openxmlformats.org/officeDocument/2006/relationships/ctrlProp" Target="../ctrlProps/ctrlProp149.xml"/><Relationship Id="rId31" Type="http://schemas.openxmlformats.org/officeDocument/2006/relationships/ctrlProp" Target="../ctrlProps/ctrlProp161.xml"/><Relationship Id="rId4" Type="http://schemas.openxmlformats.org/officeDocument/2006/relationships/control" Target="../activeX/activeX23.xml"/><Relationship Id="rId9" Type="http://schemas.openxmlformats.org/officeDocument/2006/relationships/image" Target="../media/image51.emf"/><Relationship Id="rId14" Type="http://schemas.openxmlformats.org/officeDocument/2006/relationships/ctrlProp" Target="../ctrlProps/ctrlProp144.xml"/><Relationship Id="rId22" Type="http://schemas.openxmlformats.org/officeDocument/2006/relationships/ctrlProp" Target="../ctrlProps/ctrlProp152.xml"/><Relationship Id="rId27" Type="http://schemas.openxmlformats.org/officeDocument/2006/relationships/ctrlProp" Target="../ctrlProps/ctrlProp157.xml"/><Relationship Id="rId30" Type="http://schemas.openxmlformats.org/officeDocument/2006/relationships/ctrlProp" Target="../ctrlProps/ctrlProp160.xml"/><Relationship Id="rId35" Type="http://schemas.openxmlformats.org/officeDocument/2006/relationships/ctrlProp" Target="../ctrlProps/ctrlProp165.xml"/><Relationship Id="rId8" Type="http://schemas.openxmlformats.org/officeDocument/2006/relationships/control" Target="../activeX/activeX25.xml"/><Relationship Id="rId3" Type="http://schemas.openxmlformats.org/officeDocument/2006/relationships/vmlDrawing" Target="../drawings/vmlDrawing12.vml"/><Relationship Id="rId12" Type="http://schemas.openxmlformats.org/officeDocument/2006/relationships/control" Target="../activeX/activeX27.xml"/><Relationship Id="rId17" Type="http://schemas.openxmlformats.org/officeDocument/2006/relationships/ctrlProp" Target="../ctrlProps/ctrlProp147.xml"/><Relationship Id="rId25" Type="http://schemas.openxmlformats.org/officeDocument/2006/relationships/ctrlProp" Target="../ctrlProps/ctrlProp155.xml"/><Relationship Id="rId33" Type="http://schemas.openxmlformats.org/officeDocument/2006/relationships/ctrlProp" Target="../ctrlProps/ctrlProp163.xml"/><Relationship Id="rId38" Type="http://schemas.openxmlformats.org/officeDocument/2006/relationships/ctrlProp" Target="../ctrlProps/ctrlProp168.xml"/></Relationships>
</file>

<file path=xl/worksheets/_rels/sheet23.xml.rels><?xml version="1.0" encoding="UTF-8" standalone="yes"?>
<Relationships xmlns="http://schemas.openxmlformats.org/package/2006/relationships"><Relationship Id="rId13" Type="http://schemas.openxmlformats.org/officeDocument/2006/relationships/image" Target="../media/image58.emf"/><Relationship Id="rId18" Type="http://schemas.openxmlformats.org/officeDocument/2006/relationships/ctrlProp" Target="../ctrlProps/ctrlProp177.xml"/><Relationship Id="rId26" Type="http://schemas.openxmlformats.org/officeDocument/2006/relationships/ctrlProp" Target="../ctrlProps/ctrlProp185.xml"/><Relationship Id="rId39" Type="http://schemas.openxmlformats.org/officeDocument/2006/relationships/ctrlProp" Target="../ctrlProps/ctrlProp198.xml"/><Relationship Id="rId21" Type="http://schemas.openxmlformats.org/officeDocument/2006/relationships/ctrlProp" Target="../ctrlProps/ctrlProp180.xml"/><Relationship Id="rId34" Type="http://schemas.openxmlformats.org/officeDocument/2006/relationships/ctrlProp" Target="../ctrlProps/ctrlProp193.xml"/><Relationship Id="rId42" Type="http://schemas.openxmlformats.org/officeDocument/2006/relationships/ctrlProp" Target="../ctrlProps/ctrlProp201.xml"/><Relationship Id="rId7" Type="http://schemas.openxmlformats.org/officeDocument/2006/relationships/image" Target="../media/image55.emf"/><Relationship Id="rId2" Type="http://schemas.openxmlformats.org/officeDocument/2006/relationships/drawing" Target="../drawings/drawing19.xml"/><Relationship Id="rId16" Type="http://schemas.openxmlformats.org/officeDocument/2006/relationships/ctrlProp" Target="../ctrlProps/ctrlProp175.xml"/><Relationship Id="rId20" Type="http://schemas.openxmlformats.org/officeDocument/2006/relationships/ctrlProp" Target="../ctrlProps/ctrlProp179.xml"/><Relationship Id="rId29" Type="http://schemas.openxmlformats.org/officeDocument/2006/relationships/ctrlProp" Target="../ctrlProps/ctrlProp188.xml"/><Relationship Id="rId41" Type="http://schemas.openxmlformats.org/officeDocument/2006/relationships/ctrlProp" Target="../ctrlProps/ctrlProp200.xml"/><Relationship Id="rId1" Type="http://schemas.openxmlformats.org/officeDocument/2006/relationships/printerSettings" Target="../printerSettings/printerSettings22.bin"/><Relationship Id="rId6" Type="http://schemas.openxmlformats.org/officeDocument/2006/relationships/control" Target="../activeX/activeX29.xml"/><Relationship Id="rId11" Type="http://schemas.openxmlformats.org/officeDocument/2006/relationships/image" Target="../media/image57.emf"/><Relationship Id="rId24" Type="http://schemas.openxmlformats.org/officeDocument/2006/relationships/ctrlProp" Target="../ctrlProps/ctrlProp183.xml"/><Relationship Id="rId32" Type="http://schemas.openxmlformats.org/officeDocument/2006/relationships/ctrlProp" Target="../ctrlProps/ctrlProp191.xml"/><Relationship Id="rId37" Type="http://schemas.openxmlformats.org/officeDocument/2006/relationships/ctrlProp" Target="../ctrlProps/ctrlProp196.xml"/><Relationship Id="rId40" Type="http://schemas.openxmlformats.org/officeDocument/2006/relationships/ctrlProp" Target="../ctrlProps/ctrlProp199.xml"/><Relationship Id="rId5" Type="http://schemas.openxmlformats.org/officeDocument/2006/relationships/image" Target="../media/image54.emf"/><Relationship Id="rId15" Type="http://schemas.openxmlformats.org/officeDocument/2006/relationships/ctrlProp" Target="../ctrlProps/ctrlProp174.xml"/><Relationship Id="rId23" Type="http://schemas.openxmlformats.org/officeDocument/2006/relationships/ctrlProp" Target="../ctrlProps/ctrlProp182.xml"/><Relationship Id="rId28" Type="http://schemas.openxmlformats.org/officeDocument/2006/relationships/ctrlProp" Target="../ctrlProps/ctrlProp187.xml"/><Relationship Id="rId36" Type="http://schemas.openxmlformats.org/officeDocument/2006/relationships/ctrlProp" Target="../ctrlProps/ctrlProp195.xml"/><Relationship Id="rId10" Type="http://schemas.openxmlformats.org/officeDocument/2006/relationships/control" Target="../activeX/activeX31.xml"/><Relationship Id="rId19" Type="http://schemas.openxmlformats.org/officeDocument/2006/relationships/ctrlProp" Target="../ctrlProps/ctrlProp178.xml"/><Relationship Id="rId31" Type="http://schemas.openxmlformats.org/officeDocument/2006/relationships/ctrlProp" Target="../ctrlProps/ctrlProp190.xml"/><Relationship Id="rId4" Type="http://schemas.openxmlformats.org/officeDocument/2006/relationships/control" Target="../activeX/activeX28.xml"/><Relationship Id="rId9" Type="http://schemas.openxmlformats.org/officeDocument/2006/relationships/image" Target="../media/image56.emf"/><Relationship Id="rId14" Type="http://schemas.openxmlformats.org/officeDocument/2006/relationships/ctrlProp" Target="../ctrlProps/ctrlProp173.xml"/><Relationship Id="rId22" Type="http://schemas.openxmlformats.org/officeDocument/2006/relationships/ctrlProp" Target="../ctrlProps/ctrlProp181.xml"/><Relationship Id="rId27" Type="http://schemas.openxmlformats.org/officeDocument/2006/relationships/ctrlProp" Target="../ctrlProps/ctrlProp186.xml"/><Relationship Id="rId30" Type="http://schemas.openxmlformats.org/officeDocument/2006/relationships/ctrlProp" Target="../ctrlProps/ctrlProp189.xml"/><Relationship Id="rId35" Type="http://schemas.openxmlformats.org/officeDocument/2006/relationships/ctrlProp" Target="../ctrlProps/ctrlProp194.xml"/><Relationship Id="rId8" Type="http://schemas.openxmlformats.org/officeDocument/2006/relationships/control" Target="../activeX/activeX30.xml"/><Relationship Id="rId3" Type="http://schemas.openxmlformats.org/officeDocument/2006/relationships/vmlDrawing" Target="../drawings/vmlDrawing13.vml"/><Relationship Id="rId12" Type="http://schemas.openxmlformats.org/officeDocument/2006/relationships/control" Target="../activeX/activeX32.xml"/><Relationship Id="rId17" Type="http://schemas.openxmlformats.org/officeDocument/2006/relationships/ctrlProp" Target="../ctrlProps/ctrlProp176.xml"/><Relationship Id="rId25" Type="http://schemas.openxmlformats.org/officeDocument/2006/relationships/ctrlProp" Target="../ctrlProps/ctrlProp184.xml"/><Relationship Id="rId33" Type="http://schemas.openxmlformats.org/officeDocument/2006/relationships/ctrlProp" Target="../ctrlProps/ctrlProp192.xml"/><Relationship Id="rId38" Type="http://schemas.openxmlformats.org/officeDocument/2006/relationships/ctrlProp" Target="../ctrlProps/ctrlProp197.xml"/></Relationships>
</file>

<file path=xl/worksheets/_rels/sheet24.xml.rels><?xml version="1.0" encoding="UTF-8" standalone="yes"?>
<Relationships xmlns="http://schemas.openxmlformats.org/package/2006/relationships"><Relationship Id="rId13" Type="http://schemas.openxmlformats.org/officeDocument/2006/relationships/image" Target="../media/image63.emf"/><Relationship Id="rId18" Type="http://schemas.openxmlformats.org/officeDocument/2006/relationships/ctrlProp" Target="../ctrlProps/ctrlProp206.xml"/><Relationship Id="rId26" Type="http://schemas.openxmlformats.org/officeDocument/2006/relationships/ctrlProp" Target="../ctrlProps/ctrlProp214.xml"/><Relationship Id="rId39" Type="http://schemas.openxmlformats.org/officeDocument/2006/relationships/ctrlProp" Target="../ctrlProps/ctrlProp227.xml"/><Relationship Id="rId21" Type="http://schemas.openxmlformats.org/officeDocument/2006/relationships/ctrlProp" Target="../ctrlProps/ctrlProp209.xml"/><Relationship Id="rId34" Type="http://schemas.openxmlformats.org/officeDocument/2006/relationships/ctrlProp" Target="../ctrlProps/ctrlProp222.xml"/><Relationship Id="rId42" Type="http://schemas.openxmlformats.org/officeDocument/2006/relationships/ctrlProp" Target="../ctrlProps/ctrlProp230.xml"/><Relationship Id="rId7" Type="http://schemas.openxmlformats.org/officeDocument/2006/relationships/image" Target="../media/image60.emf"/><Relationship Id="rId2" Type="http://schemas.openxmlformats.org/officeDocument/2006/relationships/drawing" Target="../drawings/drawing20.xml"/><Relationship Id="rId16" Type="http://schemas.openxmlformats.org/officeDocument/2006/relationships/ctrlProp" Target="../ctrlProps/ctrlProp204.xml"/><Relationship Id="rId20" Type="http://schemas.openxmlformats.org/officeDocument/2006/relationships/ctrlProp" Target="../ctrlProps/ctrlProp208.xml"/><Relationship Id="rId29" Type="http://schemas.openxmlformats.org/officeDocument/2006/relationships/ctrlProp" Target="../ctrlProps/ctrlProp217.xml"/><Relationship Id="rId41" Type="http://schemas.openxmlformats.org/officeDocument/2006/relationships/ctrlProp" Target="../ctrlProps/ctrlProp229.xml"/><Relationship Id="rId1" Type="http://schemas.openxmlformats.org/officeDocument/2006/relationships/printerSettings" Target="../printerSettings/printerSettings23.bin"/><Relationship Id="rId6" Type="http://schemas.openxmlformats.org/officeDocument/2006/relationships/control" Target="../activeX/activeX34.xml"/><Relationship Id="rId11" Type="http://schemas.openxmlformats.org/officeDocument/2006/relationships/image" Target="../media/image62.emf"/><Relationship Id="rId24" Type="http://schemas.openxmlformats.org/officeDocument/2006/relationships/ctrlProp" Target="../ctrlProps/ctrlProp212.xml"/><Relationship Id="rId32" Type="http://schemas.openxmlformats.org/officeDocument/2006/relationships/ctrlProp" Target="../ctrlProps/ctrlProp220.xml"/><Relationship Id="rId37" Type="http://schemas.openxmlformats.org/officeDocument/2006/relationships/ctrlProp" Target="../ctrlProps/ctrlProp225.xml"/><Relationship Id="rId40" Type="http://schemas.openxmlformats.org/officeDocument/2006/relationships/ctrlProp" Target="../ctrlProps/ctrlProp228.xml"/><Relationship Id="rId5" Type="http://schemas.openxmlformats.org/officeDocument/2006/relationships/image" Target="../media/image59.emf"/><Relationship Id="rId15" Type="http://schemas.openxmlformats.org/officeDocument/2006/relationships/ctrlProp" Target="../ctrlProps/ctrlProp203.xml"/><Relationship Id="rId23" Type="http://schemas.openxmlformats.org/officeDocument/2006/relationships/ctrlProp" Target="../ctrlProps/ctrlProp211.xml"/><Relationship Id="rId28" Type="http://schemas.openxmlformats.org/officeDocument/2006/relationships/ctrlProp" Target="../ctrlProps/ctrlProp216.xml"/><Relationship Id="rId36" Type="http://schemas.openxmlformats.org/officeDocument/2006/relationships/ctrlProp" Target="../ctrlProps/ctrlProp224.xml"/><Relationship Id="rId10" Type="http://schemas.openxmlformats.org/officeDocument/2006/relationships/control" Target="../activeX/activeX36.xml"/><Relationship Id="rId19" Type="http://schemas.openxmlformats.org/officeDocument/2006/relationships/ctrlProp" Target="../ctrlProps/ctrlProp207.xml"/><Relationship Id="rId31" Type="http://schemas.openxmlformats.org/officeDocument/2006/relationships/ctrlProp" Target="../ctrlProps/ctrlProp219.xml"/><Relationship Id="rId4" Type="http://schemas.openxmlformats.org/officeDocument/2006/relationships/control" Target="../activeX/activeX33.xml"/><Relationship Id="rId9" Type="http://schemas.openxmlformats.org/officeDocument/2006/relationships/image" Target="../media/image61.emf"/><Relationship Id="rId14" Type="http://schemas.openxmlformats.org/officeDocument/2006/relationships/ctrlProp" Target="../ctrlProps/ctrlProp202.xml"/><Relationship Id="rId22" Type="http://schemas.openxmlformats.org/officeDocument/2006/relationships/ctrlProp" Target="../ctrlProps/ctrlProp210.xml"/><Relationship Id="rId27" Type="http://schemas.openxmlformats.org/officeDocument/2006/relationships/ctrlProp" Target="../ctrlProps/ctrlProp215.xml"/><Relationship Id="rId30" Type="http://schemas.openxmlformats.org/officeDocument/2006/relationships/ctrlProp" Target="../ctrlProps/ctrlProp218.xml"/><Relationship Id="rId35" Type="http://schemas.openxmlformats.org/officeDocument/2006/relationships/ctrlProp" Target="../ctrlProps/ctrlProp223.xml"/><Relationship Id="rId8" Type="http://schemas.openxmlformats.org/officeDocument/2006/relationships/control" Target="../activeX/activeX35.xml"/><Relationship Id="rId3" Type="http://schemas.openxmlformats.org/officeDocument/2006/relationships/vmlDrawing" Target="../drawings/vmlDrawing14.vml"/><Relationship Id="rId12" Type="http://schemas.openxmlformats.org/officeDocument/2006/relationships/control" Target="../activeX/activeX37.xml"/><Relationship Id="rId17" Type="http://schemas.openxmlformats.org/officeDocument/2006/relationships/ctrlProp" Target="../ctrlProps/ctrlProp205.xml"/><Relationship Id="rId25" Type="http://schemas.openxmlformats.org/officeDocument/2006/relationships/ctrlProp" Target="../ctrlProps/ctrlProp213.xml"/><Relationship Id="rId33" Type="http://schemas.openxmlformats.org/officeDocument/2006/relationships/ctrlProp" Target="../ctrlProps/ctrlProp221.xml"/><Relationship Id="rId38" Type="http://schemas.openxmlformats.org/officeDocument/2006/relationships/ctrlProp" Target="../ctrlProps/ctrlProp226.xml"/></Relationships>
</file>

<file path=xl/worksheets/_rels/sheet25.xml.rels><?xml version="1.0" encoding="UTF-8" standalone="yes"?>
<Relationships xmlns="http://schemas.openxmlformats.org/package/2006/relationships"><Relationship Id="rId13" Type="http://schemas.openxmlformats.org/officeDocument/2006/relationships/image" Target="../media/image68.emf"/><Relationship Id="rId18" Type="http://schemas.openxmlformats.org/officeDocument/2006/relationships/ctrlProp" Target="../ctrlProps/ctrlProp235.xml"/><Relationship Id="rId26" Type="http://schemas.openxmlformats.org/officeDocument/2006/relationships/ctrlProp" Target="../ctrlProps/ctrlProp243.xml"/><Relationship Id="rId39" Type="http://schemas.openxmlformats.org/officeDocument/2006/relationships/ctrlProp" Target="../ctrlProps/ctrlProp256.xml"/><Relationship Id="rId21" Type="http://schemas.openxmlformats.org/officeDocument/2006/relationships/ctrlProp" Target="../ctrlProps/ctrlProp238.xml"/><Relationship Id="rId34" Type="http://schemas.openxmlformats.org/officeDocument/2006/relationships/ctrlProp" Target="../ctrlProps/ctrlProp251.xml"/><Relationship Id="rId42" Type="http://schemas.openxmlformats.org/officeDocument/2006/relationships/ctrlProp" Target="../ctrlProps/ctrlProp259.xml"/><Relationship Id="rId7" Type="http://schemas.openxmlformats.org/officeDocument/2006/relationships/image" Target="../media/image65.emf"/><Relationship Id="rId2" Type="http://schemas.openxmlformats.org/officeDocument/2006/relationships/drawing" Target="../drawings/drawing21.xml"/><Relationship Id="rId16" Type="http://schemas.openxmlformats.org/officeDocument/2006/relationships/ctrlProp" Target="../ctrlProps/ctrlProp233.xml"/><Relationship Id="rId20" Type="http://schemas.openxmlformats.org/officeDocument/2006/relationships/ctrlProp" Target="../ctrlProps/ctrlProp237.xml"/><Relationship Id="rId29" Type="http://schemas.openxmlformats.org/officeDocument/2006/relationships/ctrlProp" Target="../ctrlProps/ctrlProp246.xml"/><Relationship Id="rId41" Type="http://schemas.openxmlformats.org/officeDocument/2006/relationships/ctrlProp" Target="../ctrlProps/ctrlProp258.xml"/><Relationship Id="rId1" Type="http://schemas.openxmlformats.org/officeDocument/2006/relationships/printerSettings" Target="../printerSettings/printerSettings24.bin"/><Relationship Id="rId6" Type="http://schemas.openxmlformats.org/officeDocument/2006/relationships/control" Target="../activeX/activeX39.xml"/><Relationship Id="rId11" Type="http://schemas.openxmlformats.org/officeDocument/2006/relationships/image" Target="../media/image67.emf"/><Relationship Id="rId24" Type="http://schemas.openxmlformats.org/officeDocument/2006/relationships/ctrlProp" Target="../ctrlProps/ctrlProp241.xml"/><Relationship Id="rId32" Type="http://schemas.openxmlformats.org/officeDocument/2006/relationships/ctrlProp" Target="../ctrlProps/ctrlProp249.xml"/><Relationship Id="rId37" Type="http://schemas.openxmlformats.org/officeDocument/2006/relationships/ctrlProp" Target="../ctrlProps/ctrlProp254.xml"/><Relationship Id="rId40" Type="http://schemas.openxmlformats.org/officeDocument/2006/relationships/ctrlProp" Target="../ctrlProps/ctrlProp257.xml"/><Relationship Id="rId5" Type="http://schemas.openxmlformats.org/officeDocument/2006/relationships/image" Target="../media/image64.emf"/><Relationship Id="rId15" Type="http://schemas.openxmlformats.org/officeDocument/2006/relationships/ctrlProp" Target="../ctrlProps/ctrlProp232.xml"/><Relationship Id="rId23" Type="http://schemas.openxmlformats.org/officeDocument/2006/relationships/ctrlProp" Target="../ctrlProps/ctrlProp240.xml"/><Relationship Id="rId28" Type="http://schemas.openxmlformats.org/officeDocument/2006/relationships/ctrlProp" Target="../ctrlProps/ctrlProp245.xml"/><Relationship Id="rId36" Type="http://schemas.openxmlformats.org/officeDocument/2006/relationships/ctrlProp" Target="../ctrlProps/ctrlProp253.xml"/><Relationship Id="rId10" Type="http://schemas.openxmlformats.org/officeDocument/2006/relationships/control" Target="../activeX/activeX41.xml"/><Relationship Id="rId19" Type="http://schemas.openxmlformats.org/officeDocument/2006/relationships/ctrlProp" Target="../ctrlProps/ctrlProp236.xml"/><Relationship Id="rId31" Type="http://schemas.openxmlformats.org/officeDocument/2006/relationships/ctrlProp" Target="../ctrlProps/ctrlProp248.xml"/><Relationship Id="rId4" Type="http://schemas.openxmlformats.org/officeDocument/2006/relationships/control" Target="../activeX/activeX38.xml"/><Relationship Id="rId9" Type="http://schemas.openxmlformats.org/officeDocument/2006/relationships/image" Target="../media/image66.emf"/><Relationship Id="rId14" Type="http://schemas.openxmlformats.org/officeDocument/2006/relationships/ctrlProp" Target="../ctrlProps/ctrlProp231.xml"/><Relationship Id="rId22" Type="http://schemas.openxmlformats.org/officeDocument/2006/relationships/ctrlProp" Target="../ctrlProps/ctrlProp239.xml"/><Relationship Id="rId27" Type="http://schemas.openxmlformats.org/officeDocument/2006/relationships/ctrlProp" Target="../ctrlProps/ctrlProp244.xml"/><Relationship Id="rId30" Type="http://schemas.openxmlformats.org/officeDocument/2006/relationships/ctrlProp" Target="../ctrlProps/ctrlProp247.xml"/><Relationship Id="rId35" Type="http://schemas.openxmlformats.org/officeDocument/2006/relationships/ctrlProp" Target="../ctrlProps/ctrlProp252.xml"/><Relationship Id="rId8" Type="http://schemas.openxmlformats.org/officeDocument/2006/relationships/control" Target="../activeX/activeX40.xml"/><Relationship Id="rId3" Type="http://schemas.openxmlformats.org/officeDocument/2006/relationships/vmlDrawing" Target="../drawings/vmlDrawing15.vml"/><Relationship Id="rId12" Type="http://schemas.openxmlformats.org/officeDocument/2006/relationships/control" Target="../activeX/activeX42.xml"/><Relationship Id="rId17" Type="http://schemas.openxmlformats.org/officeDocument/2006/relationships/ctrlProp" Target="../ctrlProps/ctrlProp234.xml"/><Relationship Id="rId25" Type="http://schemas.openxmlformats.org/officeDocument/2006/relationships/ctrlProp" Target="../ctrlProps/ctrlProp242.xml"/><Relationship Id="rId33" Type="http://schemas.openxmlformats.org/officeDocument/2006/relationships/ctrlProp" Target="../ctrlProps/ctrlProp250.xml"/><Relationship Id="rId38" Type="http://schemas.openxmlformats.org/officeDocument/2006/relationships/ctrlProp" Target="../ctrlProps/ctrlProp255.xml"/></Relationships>
</file>

<file path=xl/worksheets/_rels/sheet26.xml.rels><?xml version="1.0" encoding="UTF-8" standalone="yes"?>
<Relationships xmlns="http://schemas.openxmlformats.org/package/2006/relationships"><Relationship Id="rId13" Type="http://schemas.openxmlformats.org/officeDocument/2006/relationships/image" Target="../media/image73.emf"/><Relationship Id="rId18" Type="http://schemas.openxmlformats.org/officeDocument/2006/relationships/ctrlProp" Target="../ctrlProps/ctrlProp264.xml"/><Relationship Id="rId26" Type="http://schemas.openxmlformats.org/officeDocument/2006/relationships/ctrlProp" Target="../ctrlProps/ctrlProp272.xml"/><Relationship Id="rId39" Type="http://schemas.openxmlformats.org/officeDocument/2006/relationships/ctrlProp" Target="../ctrlProps/ctrlProp285.xml"/><Relationship Id="rId21" Type="http://schemas.openxmlformats.org/officeDocument/2006/relationships/ctrlProp" Target="../ctrlProps/ctrlProp267.xml"/><Relationship Id="rId34" Type="http://schemas.openxmlformats.org/officeDocument/2006/relationships/ctrlProp" Target="../ctrlProps/ctrlProp280.xml"/><Relationship Id="rId42" Type="http://schemas.openxmlformats.org/officeDocument/2006/relationships/ctrlProp" Target="../ctrlProps/ctrlProp288.xml"/><Relationship Id="rId7" Type="http://schemas.openxmlformats.org/officeDocument/2006/relationships/image" Target="../media/image70.emf"/><Relationship Id="rId2" Type="http://schemas.openxmlformats.org/officeDocument/2006/relationships/drawing" Target="../drawings/drawing22.xml"/><Relationship Id="rId16" Type="http://schemas.openxmlformats.org/officeDocument/2006/relationships/ctrlProp" Target="../ctrlProps/ctrlProp262.xml"/><Relationship Id="rId20" Type="http://schemas.openxmlformats.org/officeDocument/2006/relationships/ctrlProp" Target="../ctrlProps/ctrlProp266.xml"/><Relationship Id="rId29" Type="http://schemas.openxmlformats.org/officeDocument/2006/relationships/ctrlProp" Target="../ctrlProps/ctrlProp275.xml"/><Relationship Id="rId41" Type="http://schemas.openxmlformats.org/officeDocument/2006/relationships/ctrlProp" Target="../ctrlProps/ctrlProp287.xml"/><Relationship Id="rId1" Type="http://schemas.openxmlformats.org/officeDocument/2006/relationships/printerSettings" Target="../printerSettings/printerSettings25.bin"/><Relationship Id="rId6" Type="http://schemas.openxmlformats.org/officeDocument/2006/relationships/control" Target="../activeX/activeX44.xml"/><Relationship Id="rId11" Type="http://schemas.openxmlformats.org/officeDocument/2006/relationships/image" Target="../media/image72.emf"/><Relationship Id="rId24" Type="http://schemas.openxmlformats.org/officeDocument/2006/relationships/ctrlProp" Target="../ctrlProps/ctrlProp270.xml"/><Relationship Id="rId32" Type="http://schemas.openxmlformats.org/officeDocument/2006/relationships/ctrlProp" Target="../ctrlProps/ctrlProp278.xml"/><Relationship Id="rId37" Type="http://schemas.openxmlformats.org/officeDocument/2006/relationships/ctrlProp" Target="../ctrlProps/ctrlProp283.xml"/><Relationship Id="rId40" Type="http://schemas.openxmlformats.org/officeDocument/2006/relationships/ctrlProp" Target="../ctrlProps/ctrlProp286.xml"/><Relationship Id="rId5" Type="http://schemas.openxmlformats.org/officeDocument/2006/relationships/image" Target="../media/image69.emf"/><Relationship Id="rId15" Type="http://schemas.openxmlformats.org/officeDocument/2006/relationships/ctrlProp" Target="../ctrlProps/ctrlProp261.xml"/><Relationship Id="rId23" Type="http://schemas.openxmlformats.org/officeDocument/2006/relationships/ctrlProp" Target="../ctrlProps/ctrlProp269.xml"/><Relationship Id="rId28" Type="http://schemas.openxmlformats.org/officeDocument/2006/relationships/ctrlProp" Target="../ctrlProps/ctrlProp274.xml"/><Relationship Id="rId36" Type="http://schemas.openxmlformats.org/officeDocument/2006/relationships/ctrlProp" Target="../ctrlProps/ctrlProp282.xml"/><Relationship Id="rId10" Type="http://schemas.openxmlformats.org/officeDocument/2006/relationships/control" Target="../activeX/activeX46.xml"/><Relationship Id="rId19" Type="http://schemas.openxmlformats.org/officeDocument/2006/relationships/ctrlProp" Target="../ctrlProps/ctrlProp265.xml"/><Relationship Id="rId31" Type="http://schemas.openxmlformats.org/officeDocument/2006/relationships/ctrlProp" Target="../ctrlProps/ctrlProp277.xml"/><Relationship Id="rId4" Type="http://schemas.openxmlformats.org/officeDocument/2006/relationships/control" Target="../activeX/activeX43.xml"/><Relationship Id="rId9" Type="http://schemas.openxmlformats.org/officeDocument/2006/relationships/image" Target="../media/image71.emf"/><Relationship Id="rId14" Type="http://schemas.openxmlformats.org/officeDocument/2006/relationships/ctrlProp" Target="../ctrlProps/ctrlProp260.xml"/><Relationship Id="rId22" Type="http://schemas.openxmlformats.org/officeDocument/2006/relationships/ctrlProp" Target="../ctrlProps/ctrlProp268.xml"/><Relationship Id="rId27" Type="http://schemas.openxmlformats.org/officeDocument/2006/relationships/ctrlProp" Target="../ctrlProps/ctrlProp273.xml"/><Relationship Id="rId30" Type="http://schemas.openxmlformats.org/officeDocument/2006/relationships/ctrlProp" Target="../ctrlProps/ctrlProp276.xml"/><Relationship Id="rId35" Type="http://schemas.openxmlformats.org/officeDocument/2006/relationships/ctrlProp" Target="../ctrlProps/ctrlProp281.xml"/><Relationship Id="rId8" Type="http://schemas.openxmlformats.org/officeDocument/2006/relationships/control" Target="../activeX/activeX45.xml"/><Relationship Id="rId3" Type="http://schemas.openxmlformats.org/officeDocument/2006/relationships/vmlDrawing" Target="../drawings/vmlDrawing16.vml"/><Relationship Id="rId12" Type="http://schemas.openxmlformats.org/officeDocument/2006/relationships/control" Target="../activeX/activeX47.xml"/><Relationship Id="rId17" Type="http://schemas.openxmlformats.org/officeDocument/2006/relationships/ctrlProp" Target="../ctrlProps/ctrlProp263.xml"/><Relationship Id="rId25" Type="http://schemas.openxmlformats.org/officeDocument/2006/relationships/ctrlProp" Target="../ctrlProps/ctrlProp271.xml"/><Relationship Id="rId33" Type="http://schemas.openxmlformats.org/officeDocument/2006/relationships/ctrlProp" Target="../ctrlProps/ctrlProp279.xml"/><Relationship Id="rId38" Type="http://schemas.openxmlformats.org/officeDocument/2006/relationships/ctrlProp" Target="../ctrlProps/ctrlProp284.xml"/></Relationships>
</file>

<file path=xl/worksheets/_rels/sheet27.xml.rels><?xml version="1.0" encoding="UTF-8" standalone="yes"?>
<Relationships xmlns="http://schemas.openxmlformats.org/package/2006/relationships"><Relationship Id="rId13" Type="http://schemas.openxmlformats.org/officeDocument/2006/relationships/image" Target="../media/image78.emf"/><Relationship Id="rId18" Type="http://schemas.openxmlformats.org/officeDocument/2006/relationships/ctrlProp" Target="../ctrlProps/ctrlProp293.xml"/><Relationship Id="rId26" Type="http://schemas.openxmlformats.org/officeDocument/2006/relationships/ctrlProp" Target="../ctrlProps/ctrlProp301.xml"/><Relationship Id="rId39" Type="http://schemas.openxmlformats.org/officeDocument/2006/relationships/ctrlProp" Target="../ctrlProps/ctrlProp314.xml"/><Relationship Id="rId21" Type="http://schemas.openxmlformats.org/officeDocument/2006/relationships/ctrlProp" Target="../ctrlProps/ctrlProp296.xml"/><Relationship Id="rId34" Type="http://schemas.openxmlformats.org/officeDocument/2006/relationships/ctrlProp" Target="../ctrlProps/ctrlProp309.xml"/><Relationship Id="rId42" Type="http://schemas.openxmlformats.org/officeDocument/2006/relationships/ctrlProp" Target="../ctrlProps/ctrlProp317.xml"/><Relationship Id="rId7" Type="http://schemas.openxmlformats.org/officeDocument/2006/relationships/image" Target="../media/image75.emf"/><Relationship Id="rId2" Type="http://schemas.openxmlformats.org/officeDocument/2006/relationships/drawing" Target="../drawings/drawing23.xml"/><Relationship Id="rId16" Type="http://schemas.openxmlformats.org/officeDocument/2006/relationships/ctrlProp" Target="../ctrlProps/ctrlProp291.xml"/><Relationship Id="rId20" Type="http://schemas.openxmlformats.org/officeDocument/2006/relationships/ctrlProp" Target="../ctrlProps/ctrlProp295.xml"/><Relationship Id="rId29" Type="http://schemas.openxmlformats.org/officeDocument/2006/relationships/ctrlProp" Target="../ctrlProps/ctrlProp304.xml"/><Relationship Id="rId41" Type="http://schemas.openxmlformats.org/officeDocument/2006/relationships/ctrlProp" Target="../ctrlProps/ctrlProp316.xml"/><Relationship Id="rId1" Type="http://schemas.openxmlformats.org/officeDocument/2006/relationships/printerSettings" Target="../printerSettings/printerSettings26.bin"/><Relationship Id="rId6" Type="http://schemas.openxmlformats.org/officeDocument/2006/relationships/control" Target="../activeX/activeX49.xml"/><Relationship Id="rId11" Type="http://schemas.openxmlformats.org/officeDocument/2006/relationships/image" Target="../media/image77.emf"/><Relationship Id="rId24" Type="http://schemas.openxmlformats.org/officeDocument/2006/relationships/ctrlProp" Target="../ctrlProps/ctrlProp299.xml"/><Relationship Id="rId32" Type="http://schemas.openxmlformats.org/officeDocument/2006/relationships/ctrlProp" Target="../ctrlProps/ctrlProp307.xml"/><Relationship Id="rId37" Type="http://schemas.openxmlformats.org/officeDocument/2006/relationships/ctrlProp" Target="../ctrlProps/ctrlProp312.xml"/><Relationship Id="rId40" Type="http://schemas.openxmlformats.org/officeDocument/2006/relationships/ctrlProp" Target="../ctrlProps/ctrlProp315.xml"/><Relationship Id="rId5" Type="http://schemas.openxmlformats.org/officeDocument/2006/relationships/image" Target="../media/image74.emf"/><Relationship Id="rId15" Type="http://schemas.openxmlformats.org/officeDocument/2006/relationships/ctrlProp" Target="../ctrlProps/ctrlProp290.xml"/><Relationship Id="rId23" Type="http://schemas.openxmlformats.org/officeDocument/2006/relationships/ctrlProp" Target="../ctrlProps/ctrlProp298.xml"/><Relationship Id="rId28" Type="http://schemas.openxmlformats.org/officeDocument/2006/relationships/ctrlProp" Target="../ctrlProps/ctrlProp303.xml"/><Relationship Id="rId36" Type="http://schemas.openxmlformats.org/officeDocument/2006/relationships/ctrlProp" Target="../ctrlProps/ctrlProp311.xml"/><Relationship Id="rId10" Type="http://schemas.openxmlformats.org/officeDocument/2006/relationships/control" Target="../activeX/activeX51.xml"/><Relationship Id="rId19" Type="http://schemas.openxmlformats.org/officeDocument/2006/relationships/ctrlProp" Target="../ctrlProps/ctrlProp294.xml"/><Relationship Id="rId31" Type="http://schemas.openxmlformats.org/officeDocument/2006/relationships/ctrlProp" Target="../ctrlProps/ctrlProp306.xml"/><Relationship Id="rId4" Type="http://schemas.openxmlformats.org/officeDocument/2006/relationships/control" Target="../activeX/activeX48.xml"/><Relationship Id="rId9" Type="http://schemas.openxmlformats.org/officeDocument/2006/relationships/image" Target="../media/image76.emf"/><Relationship Id="rId14" Type="http://schemas.openxmlformats.org/officeDocument/2006/relationships/ctrlProp" Target="../ctrlProps/ctrlProp289.xml"/><Relationship Id="rId22" Type="http://schemas.openxmlformats.org/officeDocument/2006/relationships/ctrlProp" Target="../ctrlProps/ctrlProp297.xml"/><Relationship Id="rId27" Type="http://schemas.openxmlformats.org/officeDocument/2006/relationships/ctrlProp" Target="../ctrlProps/ctrlProp302.xml"/><Relationship Id="rId30" Type="http://schemas.openxmlformats.org/officeDocument/2006/relationships/ctrlProp" Target="../ctrlProps/ctrlProp305.xml"/><Relationship Id="rId35" Type="http://schemas.openxmlformats.org/officeDocument/2006/relationships/ctrlProp" Target="../ctrlProps/ctrlProp310.xml"/><Relationship Id="rId8" Type="http://schemas.openxmlformats.org/officeDocument/2006/relationships/control" Target="../activeX/activeX50.xml"/><Relationship Id="rId3" Type="http://schemas.openxmlformats.org/officeDocument/2006/relationships/vmlDrawing" Target="../drawings/vmlDrawing17.vml"/><Relationship Id="rId12" Type="http://schemas.openxmlformats.org/officeDocument/2006/relationships/control" Target="../activeX/activeX52.xml"/><Relationship Id="rId17" Type="http://schemas.openxmlformats.org/officeDocument/2006/relationships/ctrlProp" Target="../ctrlProps/ctrlProp292.xml"/><Relationship Id="rId25" Type="http://schemas.openxmlformats.org/officeDocument/2006/relationships/ctrlProp" Target="../ctrlProps/ctrlProp300.xml"/><Relationship Id="rId33" Type="http://schemas.openxmlformats.org/officeDocument/2006/relationships/ctrlProp" Target="../ctrlProps/ctrlProp308.xml"/><Relationship Id="rId38" Type="http://schemas.openxmlformats.org/officeDocument/2006/relationships/ctrlProp" Target="../ctrlProps/ctrlProp313.xml"/></Relationships>
</file>

<file path=xl/worksheets/_rels/sheet28.xml.rels><?xml version="1.0" encoding="UTF-8" standalone="yes"?>
<Relationships xmlns="http://schemas.openxmlformats.org/package/2006/relationships"><Relationship Id="rId13" Type="http://schemas.openxmlformats.org/officeDocument/2006/relationships/ctrlProp" Target="../ctrlProps/ctrlProp319.xml"/><Relationship Id="rId18" Type="http://schemas.openxmlformats.org/officeDocument/2006/relationships/ctrlProp" Target="../ctrlProps/ctrlProp324.xml"/><Relationship Id="rId26" Type="http://schemas.openxmlformats.org/officeDocument/2006/relationships/ctrlProp" Target="../ctrlProps/ctrlProp332.xml"/><Relationship Id="rId39" Type="http://schemas.openxmlformats.org/officeDocument/2006/relationships/ctrlProp" Target="../ctrlProps/ctrlProp345.xml"/><Relationship Id="rId21" Type="http://schemas.openxmlformats.org/officeDocument/2006/relationships/ctrlProp" Target="../ctrlProps/ctrlProp327.xml"/><Relationship Id="rId34" Type="http://schemas.openxmlformats.org/officeDocument/2006/relationships/ctrlProp" Target="../ctrlProps/ctrlProp340.xml"/><Relationship Id="rId7" Type="http://schemas.openxmlformats.org/officeDocument/2006/relationships/image" Target="../media/image80.emf"/><Relationship Id="rId2" Type="http://schemas.openxmlformats.org/officeDocument/2006/relationships/drawing" Target="../drawings/drawing24.xml"/><Relationship Id="rId16" Type="http://schemas.openxmlformats.org/officeDocument/2006/relationships/ctrlProp" Target="../ctrlProps/ctrlProp322.xml"/><Relationship Id="rId20" Type="http://schemas.openxmlformats.org/officeDocument/2006/relationships/ctrlProp" Target="../ctrlProps/ctrlProp326.xml"/><Relationship Id="rId29" Type="http://schemas.openxmlformats.org/officeDocument/2006/relationships/ctrlProp" Target="../ctrlProps/ctrlProp335.xml"/><Relationship Id="rId41" Type="http://schemas.openxmlformats.org/officeDocument/2006/relationships/ctrlProp" Target="../ctrlProps/ctrlProp347.xml"/><Relationship Id="rId1" Type="http://schemas.openxmlformats.org/officeDocument/2006/relationships/printerSettings" Target="../printerSettings/printerSettings27.bin"/><Relationship Id="rId6" Type="http://schemas.openxmlformats.org/officeDocument/2006/relationships/control" Target="../activeX/activeX54.xml"/><Relationship Id="rId11" Type="http://schemas.openxmlformats.org/officeDocument/2006/relationships/image" Target="../media/image82.emf"/><Relationship Id="rId24" Type="http://schemas.openxmlformats.org/officeDocument/2006/relationships/ctrlProp" Target="../ctrlProps/ctrlProp330.xml"/><Relationship Id="rId32" Type="http://schemas.openxmlformats.org/officeDocument/2006/relationships/ctrlProp" Target="../ctrlProps/ctrlProp338.xml"/><Relationship Id="rId37" Type="http://schemas.openxmlformats.org/officeDocument/2006/relationships/ctrlProp" Target="../ctrlProps/ctrlProp343.xml"/><Relationship Id="rId40" Type="http://schemas.openxmlformats.org/officeDocument/2006/relationships/ctrlProp" Target="../ctrlProps/ctrlProp346.xml"/><Relationship Id="rId5" Type="http://schemas.openxmlformats.org/officeDocument/2006/relationships/image" Target="../media/image79.emf"/><Relationship Id="rId15" Type="http://schemas.openxmlformats.org/officeDocument/2006/relationships/ctrlProp" Target="../ctrlProps/ctrlProp321.xml"/><Relationship Id="rId23" Type="http://schemas.openxmlformats.org/officeDocument/2006/relationships/ctrlProp" Target="../ctrlProps/ctrlProp329.xml"/><Relationship Id="rId28" Type="http://schemas.openxmlformats.org/officeDocument/2006/relationships/ctrlProp" Target="../ctrlProps/ctrlProp334.xml"/><Relationship Id="rId36" Type="http://schemas.openxmlformats.org/officeDocument/2006/relationships/ctrlProp" Target="../ctrlProps/ctrlProp342.xml"/><Relationship Id="rId10" Type="http://schemas.openxmlformats.org/officeDocument/2006/relationships/control" Target="../activeX/activeX56.xml"/><Relationship Id="rId19" Type="http://schemas.openxmlformats.org/officeDocument/2006/relationships/ctrlProp" Target="../ctrlProps/ctrlProp325.xml"/><Relationship Id="rId31" Type="http://schemas.openxmlformats.org/officeDocument/2006/relationships/ctrlProp" Target="../ctrlProps/ctrlProp337.xml"/><Relationship Id="rId4" Type="http://schemas.openxmlformats.org/officeDocument/2006/relationships/control" Target="../activeX/activeX53.xml"/><Relationship Id="rId9" Type="http://schemas.openxmlformats.org/officeDocument/2006/relationships/image" Target="../media/image81.emf"/><Relationship Id="rId14" Type="http://schemas.openxmlformats.org/officeDocument/2006/relationships/ctrlProp" Target="../ctrlProps/ctrlProp320.xml"/><Relationship Id="rId22" Type="http://schemas.openxmlformats.org/officeDocument/2006/relationships/ctrlProp" Target="../ctrlProps/ctrlProp328.xml"/><Relationship Id="rId27" Type="http://schemas.openxmlformats.org/officeDocument/2006/relationships/ctrlProp" Target="../ctrlProps/ctrlProp333.xml"/><Relationship Id="rId30" Type="http://schemas.openxmlformats.org/officeDocument/2006/relationships/ctrlProp" Target="../ctrlProps/ctrlProp336.xml"/><Relationship Id="rId35" Type="http://schemas.openxmlformats.org/officeDocument/2006/relationships/ctrlProp" Target="../ctrlProps/ctrlProp341.xml"/><Relationship Id="rId8" Type="http://schemas.openxmlformats.org/officeDocument/2006/relationships/control" Target="../activeX/activeX55.xml"/><Relationship Id="rId3" Type="http://schemas.openxmlformats.org/officeDocument/2006/relationships/vmlDrawing" Target="../drawings/vmlDrawing18.vml"/><Relationship Id="rId12" Type="http://schemas.openxmlformats.org/officeDocument/2006/relationships/ctrlProp" Target="../ctrlProps/ctrlProp318.xml"/><Relationship Id="rId17" Type="http://schemas.openxmlformats.org/officeDocument/2006/relationships/ctrlProp" Target="../ctrlProps/ctrlProp323.xml"/><Relationship Id="rId25" Type="http://schemas.openxmlformats.org/officeDocument/2006/relationships/ctrlProp" Target="../ctrlProps/ctrlProp331.xml"/><Relationship Id="rId33" Type="http://schemas.openxmlformats.org/officeDocument/2006/relationships/ctrlProp" Target="../ctrlProps/ctrlProp339.xml"/><Relationship Id="rId38" Type="http://schemas.openxmlformats.org/officeDocument/2006/relationships/ctrlProp" Target="../ctrlProps/ctrlProp344.xml"/></Relationships>
</file>

<file path=xl/worksheets/_rels/sheet29.xml.rels><?xml version="1.0" encoding="UTF-8" standalone="yes"?>
<Relationships xmlns="http://schemas.openxmlformats.org/package/2006/relationships"><Relationship Id="rId8" Type="http://schemas.openxmlformats.org/officeDocument/2006/relationships/ctrlProp" Target="../ctrlProps/ctrlProp351.xml"/><Relationship Id="rId3" Type="http://schemas.openxmlformats.org/officeDocument/2006/relationships/drawing" Target="../drawings/drawing25.xml"/><Relationship Id="rId7" Type="http://schemas.openxmlformats.org/officeDocument/2006/relationships/ctrlProp" Target="../ctrlProps/ctrlProp350.xml"/><Relationship Id="rId2" Type="http://schemas.openxmlformats.org/officeDocument/2006/relationships/printerSettings" Target="../printerSettings/printerSettings28.bin"/><Relationship Id="rId1" Type="http://schemas.openxmlformats.org/officeDocument/2006/relationships/hyperlink" Target="mailto:HomeComfortLI@pseg.com" TargetMode="External"/><Relationship Id="rId6" Type="http://schemas.openxmlformats.org/officeDocument/2006/relationships/ctrlProp" Target="../ctrlProps/ctrlProp349.xml"/><Relationship Id="rId5" Type="http://schemas.openxmlformats.org/officeDocument/2006/relationships/ctrlProp" Target="../ctrlProps/ctrlProp348.xml"/><Relationship Id="rId4" Type="http://schemas.openxmlformats.org/officeDocument/2006/relationships/vmlDrawing" Target="../drawings/vmlDrawing19.vml"/><Relationship Id="rId9" Type="http://schemas.openxmlformats.org/officeDocument/2006/relationships/ctrlProp" Target="../ctrlProps/ctrlProp35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0.vml"/><Relationship Id="rId7" Type="http://schemas.openxmlformats.org/officeDocument/2006/relationships/ctrlProp" Target="../ctrlProps/ctrlProp356.xml"/><Relationship Id="rId2" Type="http://schemas.openxmlformats.org/officeDocument/2006/relationships/drawing" Target="../drawings/drawing26.xml"/><Relationship Id="rId1" Type="http://schemas.openxmlformats.org/officeDocument/2006/relationships/printerSettings" Target="../printerSettings/printerSettings29.bin"/><Relationship Id="rId6" Type="http://schemas.openxmlformats.org/officeDocument/2006/relationships/ctrlProp" Target="../ctrlProps/ctrlProp355.xml"/><Relationship Id="rId5" Type="http://schemas.openxmlformats.org/officeDocument/2006/relationships/ctrlProp" Target="../ctrlProps/ctrlProp354.xml"/><Relationship Id="rId4" Type="http://schemas.openxmlformats.org/officeDocument/2006/relationships/ctrlProp" Target="../ctrlProps/ctrlProp353.xml"/></Relationships>
</file>

<file path=xl/worksheets/_rels/sheet3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21.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22.v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3" Type="http://schemas.openxmlformats.org/officeDocument/2006/relationships/vmlDrawing" Target="../drawings/vmlDrawing3.v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 Type="http://schemas.openxmlformats.org/officeDocument/2006/relationships/drawing" Target="../drawings/drawing4.xml"/><Relationship Id="rId16" Type="http://schemas.openxmlformats.org/officeDocument/2006/relationships/ctrlProp" Target="../ctrlProps/ctrlProp14.xml"/><Relationship Id="rId1" Type="http://schemas.openxmlformats.org/officeDocument/2006/relationships/printerSettings" Target="../printerSettings/printerSettings4.bin"/><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5" Type="http://schemas.openxmlformats.org/officeDocument/2006/relationships/ctrlProp" Target="../ctrlProps/ctrlProp1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psegliny.com/businessandcontractorservices/businessandcommercialsavings/businessandcommercialrebates" TargetMode="External"/><Relationship Id="rId7" Type="http://schemas.openxmlformats.org/officeDocument/2006/relationships/drawing" Target="../drawings/drawing6.xml"/><Relationship Id="rId2" Type="http://schemas.openxmlformats.org/officeDocument/2006/relationships/hyperlink" Target="https://www.psegliny.com/businessandcontractorservices/businessandcommercialsavings/businessandcommercialrebates" TargetMode="External"/><Relationship Id="rId1" Type="http://schemas.openxmlformats.org/officeDocument/2006/relationships/hyperlink" Target="mailto:CEPLI@pseg.com" TargetMode="External"/><Relationship Id="rId6" Type="http://schemas.openxmlformats.org/officeDocument/2006/relationships/printerSettings" Target="../printerSettings/printerSettings6.bin"/><Relationship Id="rId5" Type="http://schemas.openxmlformats.org/officeDocument/2006/relationships/hyperlink" Target="http://www.pseglinyportal.com/" TargetMode="External"/><Relationship Id="rId4" Type="http://schemas.openxmlformats.org/officeDocument/2006/relationships/hyperlink" Target="https://www.psegliny.com/businessandcontractorservices/businessandcommercialsavings/businessandcommercialrebates" TargetMode="External"/></Relationships>
</file>

<file path=xl/worksheets/_rels/sheet7.xml.rels><?xml version="1.0" encoding="UTF-8" standalone="yes"?>
<Relationships xmlns="http://schemas.openxmlformats.org/package/2006/relationships"><Relationship Id="rId8" Type="http://schemas.openxmlformats.org/officeDocument/2006/relationships/image" Target="../media/image16.emf"/><Relationship Id="rId3" Type="http://schemas.openxmlformats.org/officeDocument/2006/relationships/drawing" Target="../drawings/drawing7.xml"/><Relationship Id="rId7" Type="http://schemas.openxmlformats.org/officeDocument/2006/relationships/control" Target="../activeX/activeX11.xml"/><Relationship Id="rId2" Type="http://schemas.openxmlformats.org/officeDocument/2006/relationships/printerSettings" Target="../printerSettings/printerSettings7.bin"/><Relationship Id="rId1" Type="http://schemas.openxmlformats.org/officeDocument/2006/relationships/hyperlink" Target="https://enrollmythermostat.com/faqs/pseg-long-island-faq/" TargetMode="External"/><Relationship Id="rId6" Type="http://schemas.openxmlformats.org/officeDocument/2006/relationships/image" Target="../media/image15.emf"/><Relationship Id="rId5" Type="http://schemas.openxmlformats.org/officeDocument/2006/relationships/control" Target="../activeX/activeX10.xml"/><Relationship Id="rId4"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6">
    <pageSetUpPr fitToPage="1"/>
  </sheetPr>
  <dimension ref="A1:IU211"/>
  <sheetViews>
    <sheetView showGridLines="0" zoomScaleNormal="100" workbookViewId="0"/>
  </sheetViews>
  <sheetFormatPr defaultColWidth="0" defaultRowHeight="14.5"/>
  <cols>
    <col min="1" max="2" width="3.54296875" customWidth="1"/>
    <col min="3" max="3" width="2.453125" customWidth="1"/>
    <col min="4" max="4" width="22.54296875" customWidth="1"/>
    <col min="5" max="7" width="15.54296875" customWidth="1"/>
    <col min="8" max="8" width="26.54296875" customWidth="1"/>
    <col min="9" max="9" width="22.453125" customWidth="1"/>
    <col min="10" max="10" width="18.54296875" customWidth="1"/>
    <col min="11" max="11" width="15.54296875" customWidth="1"/>
    <col min="12" max="12" width="3.54296875" customWidth="1"/>
    <col min="13" max="255" width="8.81640625" hidden="1" customWidth="1"/>
    <col min="256" max="16384" width="2.1796875" hidden="1"/>
  </cols>
  <sheetData>
    <row r="1" spans="2:11" ht="55.4" customHeight="1">
      <c r="B1" s="1032" t="str">
        <f>Development!A3&amp;" Residential Rebate Application Form"</f>
        <v>2025 Residential Rebate Application Form</v>
      </c>
      <c r="C1" s="1032"/>
      <c r="D1" s="1032"/>
      <c r="E1" s="1032"/>
      <c r="F1" s="1032"/>
      <c r="G1" s="1032"/>
      <c r="H1" s="1032"/>
      <c r="I1" s="1032"/>
      <c r="J1" s="1032"/>
      <c r="K1" s="1032"/>
    </row>
    <row r="2" spans="2:11" ht="55.4" customHeight="1">
      <c r="C2" s="1033" t="s">
        <v>220</v>
      </c>
      <c r="D2" s="1033"/>
      <c r="E2" s="1033"/>
      <c r="F2" s="1033"/>
      <c r="G2" s="1033"/>
      <c r="H2" s="1033"/>
      <c r="I2" s="1033"/>
      <c r="J2" s="107"/>
    </row>
    <row r="3" spans="2:11" s="1" customFormat="1" ht="14"/>
    <row r="4" spans="2:11" s="1" customFormat="1" ht="18">
      <c r="B4" s="1029" t="s">
        <v>221</v>
      </c>
      <c r="C4" s="1030"/>
      <c r="D4" s="1030"/>
      <c r="E4" s="1030"/>
      <c r="F4" s="1030"/>
      <c r="G4" s="1030"/>
      <c r="H4" s="1030"/>
      <c r="I4" s="1030"/>
      <c r="J4" s="1030"/>
      <c r="K4" s="1031"/>
    </row>
    <row r="5" spans="2:11" s="1" customFormat="1" ht="14"/>
    <row r="6" spans="2:11" s="1" customFormat="1" ht="18">
      <c r="B6" s="108" t="s">
        <v>222</v>
      </c>
      <c r="C6" s="108"/>
    </row>
    <row r="7" spans="2:11" s="1" customFormat="1" ht="15.5">
      <c r="B7" s="109" t="s">
        <v>19</v>
      </c>
      <c r="C7" s="110" t="s">
        <v>223</v>
      </c>
      <c r="D7" s="110"/>
      <c r="E7" s="110"/>
      <c r="F7" s="110"/>
      <c r="G7" s="110"/>
      <c r="H7" s="110"/>
      <c r="I7" s="110"/>
      <c r="J7" s="110"/>
      <c r="K7" s="110"/>
    </row>
    <row r="8" spans="2:11" s="1" customFormat="1" ht="15.5">
      <c r="B8" s="109" t="s">
        <v>20</v>
      </c>
      <c r="C8" s="110" t="s">
        <v>224</v>
      </c>
      <c r="D8" s="110"/>
      <c r="E8" s="110"/>
      <c r="F8" s="110"/>
      <c r="G8" s="110"/>
      <c r="H8" s="110"/>
      <c r="I8" s="110"/>
      <c r="J8" s="110"/>
      <c r="K8" s="110"/>
    </row>
    <row r="9" spans="2:11" s="1" customFormat="1" ht="15.5">
      <c r="B9" s="109" t="s">
        <v>21</v>
      </c>
      <c r="C9" s="110" t="str">
        <f>"Customer fills out and signs the "&amp;Development!A3&amp;" Residential Rebate Application Form."</f>
        <v>Customer fills out and signs the 2025 Residential Rebate Application Form.</v>
      </c>
      <c r="D9" s="110"/>
      <c r="E9" s="110"/>
      <c r="F9" s="110"/>
      <c r="G9" s="110"/>
      <c r="H9" s="110"/>
      <c r="I9" s="110"/>
      <c r="J9" s="110"/>
      <c r="K9" s="110"/>
    </row>
    <row r="10" spans="2:11" s="1" customFormat="1" ht="15.5">
      <c r="B10" s="111" t="s">
        <v>22</v>
      </c>
      <c r="C10" s="1034" t="str">
        <f>"Customer submits "&amp;Development!A3&amp;" Residential Rebate Application Form and all required documentation listed below. Copy all forms prior to submission/keep a copy for your records."</f>
        <v>Customer submits 2025 Residential Rebate Application Form and all required documentation listed below. Copy all forms prior to submission/keep a copy for your records.</v>
      </c>
      <c r="D10" s="1034"/>
      <c r="E10" s="1034"/>
      <c r="F10" s="1034"/>
      <c r="G10" s="1034"/>
      <c r="H10" s="1034"/>
      <c r="I10" s="1034"/>
      <c r="J10" s="1034"/>
      <c r="K10" s="1034"/>
    </row>
    <row r="11" spans="2:11" s="1" customFormat="1" ht="15.5">
      <c r="B11" s="109" t="s">
        <v>23</v>
      </c>
      <c r="C11" s="110" t="s">
        <v>225</v>
      </c>
      <c r="D11" s="110"/>
      <c r="E11" s="110"/>
      <c r="F11" s="110"/>
      <c r="G11" s="110"/>
      <c r="H11" s="110"/>
      <c r="I11" s="110"/>
      <c r="J11" s="110"/>
      <c r="K11" s="110"/>
    </row>
    <row r="12" spans="2:11" s="1" customFormat="1" ht="14"/>
    <row r="13" spans="2:11" s="1" customFormat="1" ht="15.5">
      <c r="B13" s="110" t="s">
        <v>226</v>
      </c>
    </row>
    <row r="14" spans="2:11" s="1" customFormat="1" ht="14"/>
    <row r="15" spans="2:11" s="1" customFormat="1" ht="14"/>
    <row r="16" spans="2:11" s="1" customFormat="1" ht="14"/>
    <row r="17" spans="3:4" s="1" customFormat="1" ht="14"/>
    <row r="18" spans="3:4" s="1" customFormat="1" ht="18.5">
      <c r="C18" s="112" t="s">
        <v>227</v>
      </c>
      <c r="D18" s="110" t="s">
        <v>228</v>
      </c>
    </row>
    <row r="19" spans="3:4" s="1" customFormat="1" ht="18.5">
      <c r="C19" s="112" t="s">
        <v>227</v>
      </c>
      <c r="D19" s="110" t="s">
        <v>229</v>
      </c>
    </row>
    <row r="20" spans="3:4" s="1" customFormat="1" ht="18.5">
      <c r="C20" s="112" t="s">
        <v>227</v>
      </c>
      <c r="D20" s="110" t="s">
        <v>230</v>
      </c>
    </row>
    <row r="21" spans="3:4" s="1" customFormat="1" ht="18.5">
      <c r="C21" s="112" t="s">
        <v>227</v>
      </c>
      <c r="D21" s="110" t="s">
        <v>231</v>
      </c>
    </row>
    <row r="22" spans="3:4" s="1" customFormat="1" ht="18.5">
      <c r="C22" s="112" t="s">
        <v>227</v>
      </c>
      <c r="D22" s="110" t="s">
        <v>232</v>
      </c>
    </row>
    <row r="23" spans="3:4" s="1" customFormat="1" ht="14"/>
    <row r="24" spans="3:4" s="1" customFormat="1" ht="14"/>
    <row r="25" spans="3:4" s="1" customFormat="1" ht="18">
      <c r="C25" s="108" t="s">
        <v>233</v>
      </c>
    </row>
    <row r="26" spans="3:4" s="1" customFormat="1" ht="14"/>
    <row r="27" spans="3:4" s="1" customFormat="1" ht="14"/>
    <row r="28" spans="3:4" s="1" customFormat="1" ht="14"/>
    <row r="29" spans="3:4" s="1" customFormat="1" ht="14"/>
    <row r="30" spans="3:4" s="1" customFormat="1" ht="14"/>
    <row r="31" spans="3:4" s="1" customFormat="1" ht="14"/>
    <row r="32" spans="3:4" s="1" customFormat="1" ht="14"/>
    <row r="33" spans="2:11" s="1" customFormat="1" ht="14"/>
    <row r="34" spans="2:11" s="1" customFormat="1" ht="14"/>
    <row r="35" spans="2:11" s="1" customFormat="1" ht="14"/>
    <row r="36" spans="2:11" s="1" customFormat="1" ht="14"/>
    <row r="37" spans="2:11" s="1" customFormat="1" ht="14"/>
    <row r="38" spans="2:11" s="1" customFormat="1" ht="14"/>
    <row r="39" spans="2:11" s="1" customFormat="1" ht="14"/>
    <row r="40" spans="2:11" s="1" customFormat="1" ht="18">
      <c r="B40" s="108" t="s">
        <v>234</v>
      </c>
    </row>
    <row r="41" spans="2:11" s="1" customFormat="1" ht="18" customHeight="1">
      <c r="B41" s="109" t="s">
        <v>19</v>
      </c>
      <c r="C41" s="113" t="s">
        <v>235</v>
      </c>
      <c r="D41" s="113"/>
      <c r="E41" s="113"/>
      <c r="F41" s="113"/>
      <c r="G41" s="113"/>
      <c r="H41" s="113"/>
      <c r="I41" s="113"/>
      <c r="J41" s="113"/>
      <c r="K41" s="113"/>
    </row>
    <row r="42" spans="2:11" s="1" customFormat="1" ht="18" customHeight="1">
      <c r="B42" s="109" t="s">
        <v>20</v>
      </c>
      <c r="C42" s="113" t="str">
        <f>"Unit(s) must be purchased and installed between "&amp;TEXT(DATE(Development!A3,1,1),"M/D/YY")&amp;" and "&amp;TEXT(DATE(Development!A3,12,31),"M/D/YY")&amp;"."</f>
        <v>Unit(s) must be purchased and installed between 1/1/25 and 12/31/25.</v>
      </c>
      <c r="D42" s="113"/>
      <c r="E42" s="113"/>
      <c r="F42" s="113"/>
      <c r="G42" s="113"/>
      <c r="H42" s="113"/>
      <c r="I42" s="113"/>
      <c r="J42" s="113"/>
      <c r="K42" s="113"/>
    </row>
    <row r="43" spans="2:11" s="1" customFormat="1" ht="18" customHeight="1">
      <c r="B43" s="109" t="s">
        <v>21</v>
      </c>
      <c r="C43" s="113" t="str">
        <f>"Rebate application must be submitted within 90 days of purchase and postmarked no later than "&amp;TEXT(DATE(Development!A3,12,31),"M/D/YY")&amp;"."</f>
        <v>Rebate application must be submitted within 90 days of purchase and postmarked no later than 12/31/25.</v>
      </c>
      <c r="D43" s="113"/>
      <c r="E43" s="113"/>
      <c r="F43" s="113"/>
      <c r="G43" s="113"/>
      <c r="H43" s="113"/>
      <c r="I43" s="113"/>
      <c r="J43" s="113"/>
      <c r="K43" s="113"/>
    </row>
    <row r="44" spans="2:11" s="1" customFormat="1" ht="18" customHeight="1">
      <c r="B44" s="111" t="s">
        <v>22</v>
      </c>
      <c r="C44" s="113" t="s">
        <v>236</v>
      </c>
      <c r="D44" s="113"/>
      <c r="E44" s="113"/>
      <c r="F44" s="113"/>
      <c r="G44" s="113"/>
      <c r="H44" s="113"/>
      <c r="I44" s="113"/>
      <c r="J44" s="113"/>
      <c r="K44" s="113"/>
    </row>
    <row r="45" spans="2:11" s="1" customFormat="1" ht="18" customHeight="1">
      <c r="B45" s="111" t="s">
        <v>23</v>
      </c>
      <c r="C45" s="113" t="s">
        <v>278</v>
      </c>
      <c r="D45" s="113"/>
      <c r="E45" s="113"/>
      <c r="F45" s="113"/>
      <c r="G45" s="113"/>
      <c r="H45" s="113"/>
      <c r="I45" s="113"/>
      <c r="J45" s="113"/>
      <c r="K45" s="113"/>
    </row>
    <row r="46" spans="2:11" s="1" customFormat="1" ht="33" customHeight="1">
      <c r="B46" s="111" t="s">
        <v>24</v>
      </c>
      <c r="C46" s="1035" t="s">
        <v>237</v>
      </c>
      <c r="D46" s="1035"/>
      <c r="E46" s="1035"/>
      <c r="F46" s="1035"/>
      <c r="G46" s="1035"/>
      <c r="H46" s="1035"/>
      <c r="I46" s="1035"/>
      <c r="J46" s="1035"/>
      <c r="K46" s="1035"/>
    </row>
    <row r="47" spans="2:11" s="1" customFormat="1" ht="33" customHeight="1">
      <c r="B47" s="111" t="s">
        <v>94</v>
      </c>
      <c r="C47" s="1035" t="s">
        <v>238</v>
      </c>
      <c r="D47" s="1035"/>
      <c r="E47" s="1035"/>
      <c r="F47" s="1035"/>
      <c r="G47" s="1035"/>
      <c r="H47" s="1035"/>
      <c r="I47" s="1035"/>
      <c r="J47" s="1035"/>
      <c r="K47" s="1035"/>
    </row>
    <row r="48" spans="2:11" s="1" customFormat="1" ht="50.15" customHeight="1">
      <c r="B48" s="111" t="s">
        <v>95</v>
      </c>
      <c r="C48" s="1035" t="s">
        <v>239</v>
      </c>
      <c r="D48" s="1035"/>
      <c r="E48" s="1035"/>
      <c r="F48" s="1035"/>
      <c r="G48" s="1035"/>
      <c r="H48" s="1035"/>
      <c r="I48" s="1035"/>
      <c r="J48" s="1035"/>
      <c r="K48" s="1035"/>
    </row>
    <row r="49" spans="2:11" s="1" customFormat="1" ht="35.15" customHeight="1">
      <c r="B49" s="111" t="s">
        <v>96</v>
      </c>
      <c r="C49" s="1035" t="s">
        <v>240</v>
      </c>
      <c r="D49" s="1035"/>
      <c r="E49" s="1035"/>
      <c r="F49" s="1035"/>
      <c r="G49" s="1035"/>
      <c r="H49" s="1035"/>
      <c r="I49" s="1035"/>
      <c r="J49" s="1035"/>
      <c r="K49" s="1035"/>
    </row>
    <row r="50" spans="2:11" s="1" customFormat="1" ht="18" customHeight="1">
      <c r="B50" s="111" t="s">
        <v>97</v>
      </c>
      <c r="C50" s="113" t="s">
        <v>241</v>
      </c>
      <c r="D50" s="113"/>
      <c r="E50" s="113"/>
      <c r="F50" s="113"/>
      <c r="G50" s="113"/>
      <c r="H50" s="113"/>
      <c r="I50" s="113"/>
      <c r="J50" s="113"/>
      <c r="K50" s="113"/>
    </row>
    <row r="51" spans="2:11" s="1" customFormat="1" ht="18" customHeight="1">
      <c r="B51" s="111" t="s">
        <v>98</v>
      </c>
      <c r="C51" s="113" t="s">
        <v>242</v>
      </c>
      <c r="D51" s="113"/>
      <c r="E51" s="113"/>
      <c r="F51" s="113"/>
      <c r="G51" s="113"/>
      <c r="H51" s="113"/>
      <c r="I51" s="113"/>
      <c r="J51" s="113"/>
      <c r="K51" s="113"/>
    </row>
    <row r="52" spans="2:11" s="1" customFormat="1" ht="18" customHeight="1">
      <c r="B52" s="111" t="s">
        <v>99</v>
      </c>
      <c r="C52" s="113" t="s">
        <v>243</v>
      </c>
      <c r="D52" s="113"/>
      <c r="E52" s="113"/>
      <c r="F52" s="113"/>
      <c r="G52" s="113"/>
      <c r="H52" s="113"/>
      <c r="I52" s="113"/>
      <c r="J52" s="113"/>
      <c r="K52" s="113"/>
    </row>
    <row r="53" spans="2:11" s="1" customFormat="1" ht="14"/>
    <row r="54" spans="2:11" s="1" customFormat="1" ht="18">
      <c r="B54" s="108" t="s">
        <v>244</v>
      </c>
    </row>
    <row r="55" spans="2:11" s="1" customFormat="1" ht="15.5">
      <c r="C55" s="110" t="s">
        <v>245</v>
      </c>
      <c r="D55" s="110"/>
      <c r="E55" s="110"/>
      <c r="F55" s="110"/>
      <c r="G55" s="110"/>
    </row>
    <row r="56" spans="2:11" s="1" customFormat="1" ht="15.5">
      <c r="C56" s="110" t="s">
        <v>279</v>
      </c>
      <c r="D56" s="110"/>
      <c r="E56" s="110"/>
      <c r="F56" s="110"/>
      <c r="G56" s="110"/>
    </row>
    <row r="57" spans="2:11" s="1" customFormat="1" ht="15.5">
      <c r="C57" s="110"/>
      <c r="D57" s="110" t="s">
        <v>246</v>
      </c>
      <c r="E57" s="110"/>
      <c r="F57" s="110"/>
      <c r="G57" s="110"/>
    </row>
    <row r="58" spans="2:11" s="1" customFormat="1" ht="14"/>
    <row r="59" spans="2:11" s="1" customFormat="1" ht="14"/>
    <row r="60" spans="2:11" s="1" customFormat="1" ht="14"/>
    <row r="61" spans="2:11" s="1" customFormat="1" ht="14">
      <c r="B61" s="1036" t="s">
        <v>247</v>
      </c>
      <c r="C61" s="1036"/>
      <c r="D61" s="1036"/>
      <c r="E61" s="1036"/>
      <c r="F61" s="1036"/>
      <c r="G61" s="1036"/>
      <c r="H61" s="1036"/>
      <c r="I61" s="1036"/>
      <c r="J61" s="1036"/>
      <c r="K61" s="1036"/>
    </row>
    <row r="62" spans="2:11" s="1" customFormat="1" ht="14">
      <c r="B62" s="56"/>
      <c r="C62" s="56"/>
      <c r="D62" s="56"/>
      <c r="E62" s="56"/>
      <c r="F62" s="56"/>
      <c r="G62" s="56"/>
      <c r="H62" s="56"/>
      <c r="I62" s="56"/>
      <c r="J62" s="56"/>
      <c r="K62" s="56"/>
    </row>
    <row r="63" spans="2:11" s="1" customFormat="1" ht="14">
      <c r="B63" s="56"/>
      <c r="C63" s="56"/>
      <c r="D63" s="56"/>
      <c r="E63" s="56"/>
      <c r="F63" s="56"/>
      <c r="G63" s="56"/>
      <c r="H63" s="56"/>
      <c r="I63" s="56"/>
      <c r="J63" s="56"/>
      <c r="K63" s="56"/>
    </row>
    <row r="64" spans="2:11" s="1" customFormat="1" ht="14">
      <c r="B64" s="56"/>
      <c r="C64" s="56"/>
      <c r="D64" s="56"/>
      <c r="E64" s="56"/>
      <c r="F64" s="56"/>
      <c r="G64" s="56"/>
      <c r="H64" s="56"/>
      <c r="I64" s="56"/>
      <c r="J64" s="56"/>
      <c r="K64" s="56"/>
    </row>
    <row r="65" spans="2:11" s="1" customFormat="1" ht="14">
      <c r="B65" s="56"/>
      <c r="C65" s="56"/>
      <c r="D65" s="56"/>
      <c r="E65" s="56"/>
      <c r="F65" s="56"/>
      <c r="G65" s="56"/>
      <c r="H65" s="56"/>
      <c r="I65" s="56"/>
      <c r="J65" s="56"/>
      <c r="K65" s="56"/>
    </row>
    <row r="66" spans="2:11" s="1" customFormat="1" ht="55.4" customHeight="1">
      <c r="B66" s="1032" t="str">
        <f>Development!A3&amp;" Residential Rebate Application Form"</f>
        <v>2025 Residential Rebate Application Form</v>
      </c>
      <c r="C66" s="1032"/>
      <c r="D66" s="1032"/>
      <c r="E66" s="1032"/>
      <c r="F66" s="1032"/>
      <c r="G66" s="1032"/>
      <c r="H66" s="1032"/>
      <c r="I66" s="1032"/>
      <c r="J66" s="1032"/>
      <c r="K66" s="1032"/>
    </row>
    <row r="67" spans="2:11" s="1" customFormat="1" ht="55.4" customHeight="1">
      <c r="B67"/>
      <c r="C67" s="1033" t="s">
        <v>220</v>
      </c>
      <c r="D67" s="1033"/>
      <c r="E67" s="1033"/>
      <c r="F67" s="1033"/>
      <c r="G67" s="1033"/>
      <c r="H67" s="1033"/>
      <c r="I67" s="1033"/>
      <c r="J67" s="107"/>
      <c r="K67"/>
    </row>
    <row r="68" spans="2:11" s="1" customFormat="1" ht="14">
      <c r="I68" s="114"/>
    </row>
    <row r="69" spans="2:11" s="1" customFormat="1" ht="18">
      <c r="B69" s="1029" t="s">
        <v>248</v>
      </c>
      <c r="C69" s="1030"/>
      <c r="D69" s="1030"/>
      <c r="E69" s="1030"/>
      <c r="F69" s="1030"/>
      <c r="G69" s="1030"/>
      <c r="H69" s="1030"/>
      <c r="I69" s="1030"/>
      <c r="J69" s="1030"/>
      <c r="K69" s="1031"/>
    </row>
    <row r="70" spans="2:11" s="1" customFormat="1" ht="14"/>
    <row r="71" spans="2:11" s="1" customFormat="1" ht="20.149999999999999" customHeight="1">
      <c r="B71" s="1" t="s">
        <v>249</v>
      </c>
      <c r="H71" s="1027"/>
      <c r="I71" s="1027"/>
      <c r="J71" s="1027"/>
    </row>
    <row r="72" spans="2:11" s="1" customFormat="1" ht="20.149999999999999" customHeight="1"/>
    <row r="73" spans="2:11" s="1" customFormat="1" ht="20.149999999999999" customHeight="1">
      <c r="B73" s="1" t="s">
        <v>250</v>
      </c>
      <c r="E73" s="1027"/>
      <c r="F73" s="1027"/>
      <c r="G73" s="1027"/>
      <c r="H73" s="115" t="s">
        <v>251</v>
      </c>
      <c r="I73" s="1028"/>
      <c r="J73" s="1028"/>
    </row>
    <row r="74" spans="2:11" s="1" customFormat="1" ht="20.149999999999999" customHeight="1"/>
    <row r="75" spans="2:11" s="1" customFormat="1" ht="20.149999999999999" customHeight="1">
      <c r="B75" s="1" t="s">
        <v>252</v>
      </c>
      <c r="E75" s="1027"/>
      <c r="F75" s="1027"/>
      <c r="G75" s="1027"/>
    </row>
    <row r="76" spans="2:11" s="1" customFormat="1" ht="20.149999999999999" customHeight="1"/>
    <row r="77" spans="2:11" s="1" customFormat="1" ht="20.149999999999999" customHeight="1">
      <c r="B77" s="1" t="s">
        <v>0</v>
      </c>
      <c r="E77" s="1027"/>
      <c r="F77" s="1027"/>
      <c r="G77" s="115" t="s">
        <v>253</v>
      </c>
      <c r="H77" s="106"/>
      <c r="I77" s="115" t="s">
        <v>1</v>
      </c>
      <c r="J77" s="106"/>
    </row>
    <row r="78" spans="2:11" s="1" customFormat="1" ht="20.149999999999999" customHeight="1"/>
    <row r="79" spans="2:11" s="1" customFormat="1" ht="20.149999999999999" customHeight="1">
      <c r="B79" s="1" t="s">
        <v>254</v>
      </c>
      <c r="E79" s="1027"/>
      <c r="F79" s="1027"/>
      <c r="G79" s="115" t="s">
        <v>255</v>
      </c>
      <c r="H79" s="106"/>
    </row>
    <row r="80" spans="2:11" s="1" customFormat="1" ht="20.149999999999999" customHeight="1"/>
    <row r="81" spans="2:11" s="1" customFormat="1" ht="20.149999999999999" customHeight="1">
      <c r="B81" s="1" t="s">
        <v>256</v>
      </c>
      <c r="E81" s="1027"/>
      <c r="F81" s="1027"/>
      <c r="G81" s="1027"/>
    </row>
    <row r="82" spans="2:11" s="1" customFormat="1" ht="20.149999999999999" customHeight="1"/>
    <row r="83" spans="2:11" s="1" customFormat="1" ht="20.149999999999999" customHeight="1">
      <c r="B83" s="1" t="s">
        <v>0</v>
      </c>
      <c r="E83" s="1027"/>
      <c r="F83" s="1027"/>
      <c r="G83" s="115" t="s">
        <v>253</v>
      </c>
      <c r="H83" s="106"/>
      <c r="I83" s="115" t="s">
        <v>1</v>
      </c>
      <c r="J83" s="106"/>
    </row>
    <row r="84" spans="2:11" s="1" customFormat="1" ht="20.149999999999999" customHeight="1"/>
    <row r="85" spans="2:11" s="1" customFormat="1" ht="20.149999999999999" customHeight="1">
      <c r="B85" s="1" t="s">
        <v>257</v>
      </c>
      <c r="E85" s="1027"/>
      <c r="F85" s="1027"/>
      <c r="G85" s="1027"/>
      <c r="I85" s="1" t="s">
        <v>258</v>
      </c>
      <c r="J85" s="106"/>
    </row>
    <row r="86" spans="2:11" s="1" customFormat="1" ht="20.149999999999999" customHeight="1"/>
    <row r="87" spans="2:11" s="1" customFormat="1" ht="20.149999999999999" customHeight="1">
      <c r="B87" s="1" t="s">
        <v>259</v>
      </c>
      <c r="E87" s="1027"/>
      <c r="F87" s="1027"/>
    </row>
    <row r="88" spans="2:11" s="1" customFormat="1" ht="14"/>
    <row r="89" spans="2:11" s="1" customFormat="1" ht="18">
      <c r="B89" s="1029" t="s">
        <v>260</v>
      </c>
      <c r="C89" s="1030"/>
      <c r="D89" s="1030"/>
      <c r="E89" s="1030"/>
      <c r="F89" s="1030"/>
      <c r="G89" s="1030"/>
      <c r="H89" s="1030"/>
      <c r="I89" s="1030"/>
      <c r="J89" s="1030"/>
      <c r="K89" s="1031"/>
    </row>
    <row r="90" spans="2:11" s="1" customFormat="1" ht="14"/>
    <row r="91" spans="2:11" s="1" customFormat="1" ht="18">
      <c r="B91" s="108" t="s">
        <v>261</v>
      </c>
    </row>
    <row r="92" spans="2:11" s="1" customFormat="1" ht="14"/>
    <row r="93" spans="2:11" s="1" customFormat="1" ht="19.399999999999999" customHeight="1">
      <c r="B93" s="1023" t="s">
        <v>262</v>
      </c>
      <c r="C93" s="1024"/>
      <c r="D93" s="1024"/>
      <c r="E93" s="1024"/>
      <c r="F93" s="1024"/>
      <c r="G93" s="1024"/>
      <c r="H93" s="1024"/>
      <c r="I93" s="1024"/>
      <c r="J93" s="1025"/>
    </row>
    <row r="94" spans="2:11" s="1" customFormat="1" ht="20.149999999999999" customHeight="1">
      <c r="B94" s="1021" t="s">
        <v>263</v>
      </c>
      <c r="C94" s="1021"/>
      <c r="D94" s="1021"/>
      <c r="E94" s="1022"/>
      <c r="F94" s="1022"/>
      <c r="G94" s="1022"/>
      <c r="H94" s="116" t="s">
        <v>264</v>
      </c>
      <c r="I94" s="1022"/>
      <c r="J94" s="1022"/>
    </row>
    <row r="95" spans="2:11" s="1" customFormat="1" ht="20.149999999999999" customHeight="1">
      <c r="B95" s="1021" t="s">
        <v>265</v>
      </c>
      <c r="C95" s="1021"/>
      <c r="D95" s="1021"/>
      <c r="E95" s="1022"/>
      <c r="F95" s="1022"/>
      <c r="G95" s="1022"/>
      <c r="H95" s="116" t="s">
        <v>266</v>
      </c>
      <c r="I95" s="1022"/>
      <c r="J95" s="1022"/>
    </row>
    <row r="96" spans="2:11" s="1" customFormat="1" ht="20.149999999999999" customHeight="1">
      <c r="B96" s="1021" t="s">
        <v>267</v>
      </c>
      <c r="C96" s="1021"/>
      <c r="D96" s="1021"/>
      <c r="E96" s="1022"/>
      <c r="F96" s="1022"/>
      <c r="G96" s="1022"/>
      <c r="H96" s="116" t="s">
        <v>268</v>
      </c>
      <c r="I96" s="1022"/>
      <c r="J96" s="1022"/>
    </row>
    <row r="97" spans="2:10" s="1" customFormat="1" ht="20.149999999999999" customHeight="1">
      <c r="B97" s="1021" t="s">
        <v>269</v>
      </c>
      <c r="C97" s="1021"/>
      <c r="D97" s="1021"/>
      <c r="E97" s="1022"/>
      <c r="F97" s="1022"/>
      <c r="G97" s="1022"/>
      <c r="H97" s="116" t="s">
        <v>270</v>
      </c>
      <c r="I97" s="1022"/>
      <c r="J97" s="1022"/>
    </row>
    <row r="98" spans="2:10" s="1" customFormat="1" ht="20.149999999999999" customHeight="1">
      <c r="B98" s="1021" t="s">
        <v>271</v>
      </c>
      <c r="C98" s="1021"/>
      <c r="D98" s="1021"/>
      <c r="E98" s="1022"/>
      <c r="F98" s="1022"/>
      <c r="G98" s="1022"/>
      <c r="H98" s="116" t="s">
        <v>272</v>
      </c>
      <c r="I98" s="1022"/>
      <c r="J98" s="1022"/>
    </row>
    <row r="99" spans="2:10" s="1" customFormat="1" ht="5.15" customHeight="1">
      <c r="B99" s="61"/>
      <c r="C99" s="61"/>
      <c r="D99" s="61"/>
      <c r="E99" s="61"/>
      <c r="F99" s="61"/>
      <c r="G99" s="61"/>
      <c r="H99" s="61"/>
      <c r="I99" s="61"/>
      <c r="J99" s="61"/>
    </row>
    <row r="100" spans="2:10" s="1" customFormat="1" ht="15.5">
      <c r="B100" s="1023" t="s">
        <v>51</v>
      </c>
      <c r="C100" s="1024"/>
      <c r="D100" s="1024"/>
      <c r="E100" s="1024"/>
      <c r="F100" s="1024"/>
      <c r="G100" s="1024"/>
      <c r="H100" s="1024"/>
      <c r="I100" s="1024"/>
      <c r="J100" s="1025"/>
    </row>
    <row r="101" spans="2:10" s="1" customFormat="1" ht="20.149999999999999" customHeight="1">
      <c r="B101" s="1021" t="s">
        <v>263</v>
      </c>
      <c r="C101" s="1021"/>
      <c r="D101" s="1021"/>
      <c r="E101" s="1022"/>
      <c r="F101" s="1022"/>
      <c r="G101" s="1022"/>
      <c r="H101" s="116" t="s">
        <v>266</v>
      </c>
      <c r="I101" s="1022"/>
      <c r="J101" s="1022"/>
    </row>
    <row r="102" spans="2:10" s="1" customFormat="1" ht="20.149999999999999" customHeight="1">
      <c r="B102" s="1021" t="s">
        <v>265</v>
      </c>
      <c r="C102" s="1021"/>
      <c r="D102" s="1021"/>
      <c r="E102" s="1022"/>
      <c r="F102" s="1022"/>
      <c r="G102" s="1022"/>
      <c r="H102" s="116" t="s">
        <v>268</v>
      </c>
      <c r="I102" s="1022"/>
      <c r="J102" s="1022"/>
    </row>
    <row r="103" spans="2:10" s="1" customFormat="1" ht="20.149999999999999" customHeight="1">
      <c r="B103" s="1021" t="s">
        <v>269</v>
      </c>
      <c r="C103" s="1021"/>
      <c r="D103" s="1021"/>
      <c r="E103" s="1022"/>
      <c r="F103" s="1022"/>
      <c r="G103" s="1022"/>
      <c r="H103" s="116" t="s">
        <v>272</v>
      </c>
      <c r="I103" s="1022"/>
      <c r="J103" s="1022"/>
    </row>
    <row r="104" spans="2:10" s="1" customFormat="1" ht="14"/>
    <row r="105" spans="2:10" s="1" customFormat="1" ht="33" customHeight="1">
      <c r="B105" s="1026" t="s">
        <v>273</v>
      </c>
      <c r="C105" s="1026"/>
      <c r="D105" s="1026"/>
    </row>
    <row r="106" spans="2:10" s="1" customFormat="1" ht="15.5">
      <c r="B106" s="1023" t="s">
        <v>262</v>
      </c>
      <c r="C106" s="1024"/>
      <c r="D106" s="1024"/>
      <c r="E106" s="1024"/>
      <c r="F106" s="1024"/>
      <c r="G106" s="1024"/>
      <c r="H106" s="1024"/>
      <c r="I106" s="1024"/>
      <c r="J106" s="1025"/>
    </row>
    <row r="107" spans="2:10" s="1" customFormat="1" ht="20.149999999999999" customHeight="1">
      <c r="B107" s="1021" t="s">
        <v>263</v>
      </c>
      <c r="C107" s="1021"/>
      <c r="D107" s="1021"/>
      <c r="E107" s="1022"/>
      <c r="F107" s="1022"/>
      <c r="G107" s="1022"/>
      <c r="H107" s="116" t="s">
        <v>264</v>
      </c>
      <c r="I107" s="1022"/>
      <c r="J107" s="1022"/>
    </row>
    <row r="108" spans="2:10" s="1" customFormat="1" ht="20.149999999999999" customHeight="1">
      <c r="B108" s="1021" t="s">
        <v>265</v>
      </c>
      <c r="C108" s="1021"/>
      <c r="D108" s="1021"/>
      <c r="E108" s="1022"/>
      <c r="F108" s="1022"/>
      <c r="G108" s="1022"/>
      <c r="H108" s="116" t="s">
        <v>266</v>
      </c>
      <c r="I108" s="1022"/>
      <c r="J108" s="1022"/>
    </row>
    <row r="109" spans="2:10" s="1" customFormat="1" ht="20.149999999999999" customHeight="1">
      <c r="B109" s="1021" t="s">
        <v>267</v>
      </c>
      <c r="C109" s="1021"/>
      <c r="D109" s="1021"/>
      <c r="E109" s="1022"/>
      <c r="F109" s="1022"/>
      <c r="G109" s="1022"/>
      <c r="H109" s="116" t="s">
        <v>268</v>
      </c>
      <c r="I109" s="1022"/>
      <c r="J109" s="1022"/>
    </row>
    <row r="110" spans="2:10" s="1" customFormat="1" ht="20.149999999999999" customHeight="1">
      <c r="B110" s="1021" t="s">
        <v>269</v>
      </c>
      <c r="C110" s="1021"/>
      <c r="D110" s="1021"/>
      <c r="E110" s="1022"/>
      <c r="F110" s="1022"/>
      <c r="G110" s="1022"/>
      <c r="H110" s="116" t="s">
        <v>270</v>
      </c>
      <c r="I110" s="1022"/>
      <c r="J110" s="1022"/>
    </row>
    <row r="111" spans="2:10" s="1" customFormat="1" ht="20.149999999999999" customHeight="1">
      <c r="B111" s="1021" t="s">
        <v>271</v>
      </c>
      <c r="C111" s="1021"/>
      <c r="D111" s="1021"/>
      <c r="E111" s="1022"/>
      <c r="F111" s="1022"/>
      <c r="G111" s="1022"/>
      <c r="H111" s="116" t="s">
        <v>272</v>
      </c>
      <c r="I111" s="1022"/>
      <c r="J111" s="1022"/>
    </row>
    <row r="112" spans="2:10" s="1" customFormat="1" ht="14">
      <c r="B112" s="61"/>
      <c r="C112" s="61"/>
      <c r="D112" s="61"/>
      <c r="E112" s="61"/>
      <c r="F112" s="61"/>
      <c r="G112" s="61"/>
      <c r="H112" s="61"/>
      <c r="I112" s="61"/>
      <c r="J112" s="61"/>
    </row>
    <row r="113" spans="2:11" s="1" customFormat="1" ht="15.5">
      <c r="B113" s="1023" t="s">
        <v>51</v>
      </c>
      <c r="C113" s="1024"/>
      <c r="D113" s="1024"/>
      <c r="E113" s="1024"/>
      <c r="F113" s="1024"/>
      <c r="G113" s="1024"/>
      <c r="H113" s="1024"/>
      <c r="I113" s="1024"/>
      <c r="J113" s="1025"/>
    </row>
    <row r="114" spans="2:11" s="1" customFormat="1" ht="20.149999999999999" customHeight="1">
      <c r="B114" s="1021" t="s">
        <v>263</v>
      </c>
      <c r="C114" s="1021"/>
      <c r="D114" s="1021"/>
      <c r="E114" s="1022"/>
      <c r="F114" s="1022"/>
      <c r="G114" s="1022"/>
      <c r="H114" s="116" t="s">
        <v>266</v>
      </c>
      <c r="I114" s="1022"/>
      <c r="J114" s="1022"/>
    </row>
    <row r="115" spans="2:11" s="1" customFormat="1" ht="20.149999999999999" customHeight="1">
      <c r="B115" s="1021" t="s">
        <v>265</v>
      </c>
      <c r="C115" s="1021"/>
      <c r="D115" s="1021"/>
      <c r="E115" s="1022"/>
      <c r="F115" s="1022"/>
      <c r="G115" s="1022"/>
      <c r="H115" s="116" t="s">
        <v>268</v>
      </c>
      <c r="I115" s="1022"/>
      <c r="J115" s="1022"/>
    </row>
    <row r="116" spans="2:11" s="1" customFormat="1" ht="20.149999999999999" customHeight="1">
      <c r="B116" s="1021" t="s">
        <v>269</v>
      </c>
      <c r="C116" s="1021"/>
      <c r="D116" s="1021"/>
      <c r="E116" s="1022"/>
      <c r="F116" s="1022"/>
      <c r="G116" s="1022"/>
      <c r="H116" s="116" t="s">
        <v>272</v>
      </c>
      <c r="I116" s="1022"/>
      <c r="J116" s="1022"/>
    </row>
    <row r="117" spans="2:11" s="1" customFormat="1" ht="14"/>
    <row r="118" spans="2:11" s="1" customFormat="1" ht="21.65" customHeight="1">
      <c r="I118" s="115" t="s">
        <v>274</v>
      </c>
      <c r="J118" s="117"/>
    </row>
    <row r="119" spans="2:11" s="1" customFormat="1" ht="14"/>
    <row r="120" spans="2:11" s="1" customFormat="1" ht="14">
      <c r="B120" s="1016" t="s">
        <v>275</v>
      </c>
      <c r="C120" s="1017"/>
      <c r="D120" s="1017"/>
      <c r="E120" s="1017"/>
      <c r="F120" s="1017"/>
      <c r="G120" s="1017"/>
      <c r="H120" s="1017"/>
      <c r="I120" s="1017"/>
      <c r="J120" s="1017"/>
      <c r="K120" s="1018"/>
    </row>
    <row r="121" spans="2:11" s="1" customFormat="1" ht="14">
      <c r="B121" s="102"/>
      <c r="K121" s="118"/>
    </row>
    <row r="122" spans="2:11" s="1" customFormat="1" ht="25.4" customHeight="1">
      <c r="B122" s="102" t="s">
        <v>276</v>
      </c>
      <c r="E122" s="1019"/>
      <c r="F122" s="1019"/>
      <c r="G122" s="1019"/>
      <c r="I122" s="1" t="s">
        <v>9</v>
      </c>
      <c r="J122" s="106"/>
      <c r="K122" s="118"/>
    </row>
    <row r="123" spans="2:11" s="1" customFormat="1" ht="14">
      <c r="B123" s="119"/>
      <c r="C123" s="62"/>
      <c r="D123" s="62"/>
      <c r="E123" s="62"/>
      <c r="F123" s="62"/>
      <c r="G123" s="62"/>
      <c r="H123" s="62"/>
      <c r="I123" s="62"/>
      <c r="J123" s="62"/>
      <c r="K123" s="120"/>
    </row>
    <row r="124" spans="2:11" s="1" customFormat="1" ht="14"/>
    <row r="125" spans="2:11" s="1" customFormat="1" ht="14">
      <c r="B125" s="1020" t="s">
        <v>277</v>
      </c>
      <c r="C125" s="1020"/>
      <c r="D125" s="1020"/>
      <c r="E125" s="1020"/>
      <c r="F125" s="1020"/>
      <c r="G125" s="1020"/>
      <c r="H125" s="1020"/>
      <c r="I125" s="1020"/>
      <c r="J125" s="1020"/>
      <c r="K125" s="1020"/>
    </row>
    <row r="126" spans="2:11" s="1" customFormat="1" ht="14"/>
    <row r="127" spans="2:11" s="1" customFormat="1" ht="14">
      <c r="B127" s="1020" t="s">
        <v>247</v>
      </c>
      <c r="C127" s="1020"/>
      <c r="D127" s="1020"/>
      <c r="E127" s="1020"/>
      <c r="F127" s="1020"/>
      <c r="G127" s="1020"/>
      <c r="H127" s="1020"/>
      <c r="I127" s="1020"/>
      <c r="J127" s="1020"/>
      <c r="K127" s="1020"/>
    </row>
    <row r="128" spans="2:11" s="1" customFormat="1" ht="14"/>
    <row r="129" s="1" customFormat="1" ht="14"/>
    <row r="130" s="1" customFormat="1" ht="14"/>
    <row r="131" s="1" customFormat="1" ht="14"/>
    <row r="132" s="1" customFormat="1" ht="14"/>
    <row r="133" s="1" customFormat="1" ht="14"/>
    <row r="134" s="1" customFormat="1" ht="14"/>
    <row r="135" s="1" customFormat="1" ht="14"/>
    <row r="136" s="1" customFormat="1" ht="14"/>
    <row r="137" s="1" customFormat="1" ht="14"/>
    <row r="138" s="1" customFormat="1" ht="14"/>
    <row r="139" s="1" customFormat="1" ht="14"/>
    <row r="140" s="1" customFormat="1" ht="14"/>
    <row r="141" s="1" customFormat="1" ht="14"/>
    <row r="142" s="1" customFormat="1" ht="14"/>
    <row r="143" s="1" customFormat="1" ht="14"/>
    <row r="144" s="1" customFormat="1" ht="14"/>
    <row r="145" s="1" customFormat="1" ht="14"/>
    <row r="146" s="1" customFormat="1" ht="14"/>
    <row r="147" s="1" customFormat="1" ht="14"/>
    <row r="148" s="1" customFormat="1" ht="14"/>
    <row r="149" s="1" customFormat="1" ht="14"/>
    <row r="150" s="1" customFormat="1" ht="14"/>
    <row r="151" s="1" customFormat="1" ht="14"/>
    <row r="152" s="1" customFormat="1" ht="14"/>
    <row r="153" s="1" customFormat="1" ht="14"/>
    <row r="154" s="1" customFormat="1" ht="14"/>
    <row r="155" s="1" customFormat="1" ht="14"/>
    <row r="156" s="1" customFormat="1" ht="14"/>
    <row r="157" s="1" customFormat="1" ht="14"/>
    <row r="158" s="1" customFormat="1" ht="14"/>
    <row r="159" s="1" customFormat="1" ht="14"/>
    <row r="160" s="1" customFormat="1" ht="14"/>
    <row r="161" s="1" customFormat="1" ht="14"/>
    <row r="162" s="1" customFormat="1" ht="14"/>
    <row r="163" s="1" customFormat="1" ht="14"/>
    <row r="164" s="1" customFormat="1" ht="14"/>
    <row r="165" s="1" customFormat="1" ht="14"/>
    <row r="166" s="1" customFormat="1" ht="14"/>
    <row r="167" s="1" customFormat="1" ht="14"/>
    <row r="168" s="1" customFormat="1" ht="14"/>
    <row r="169" s="1" customFormat="1" ht="14"/>
    <row r="170" s="1" customFormat="1" ht="14"/>
    <row r="171" s="1" customFormat="1" ht="14"/>
    <row r="172" s="1" customFormat="1" ht="14"/>
    <row r="173" s="1" customFormat="1" ht="14"/>
    <row r="174" s="1" customFormat="1" ht="14"/>
    <row r="175" s="1" customFormat="1" ht="14"/>
    <row r="176" s="1" customFormat="1" ht="14"/>
    <row r="177" s="1" customFormat="1" ht="14"/>
    <row r="178" s="1" customFormat="1" ht="14"/>
    <row r="179" s="1" customFormat="1" ht="14"/>
    <row r="180" s="1" customFormat="1" ht="14"/>
    <row r="181" s="1" customFormat="1" ht="14"/>
    <row r="182" s="1" customFormat="1" ht="14"/>
    <row r="183" s="1" customFormat="1" ht="14"/>
    <row r="184" s="1" customFormat="1" ht="14"/>
    <row r="185" s="1" customFormat="1" ht="14"/>
    <row r="186" s="1" customFormat="1" ht="14"/>
    <row r="187" s="1" customFormat="1" ht="14"/>
    <row r="188" s="1" customFormat="1" ht="14"/>
    <row r="189" s="1" customFormat="1" ht="14"/>
    <row r="190" s="1" customFormat="1" ht="14"/>
    <row r="191" s="1" customFormat="1" ht="14"/>
    <row r="192" s="1" customFormat="1" ht="14"/>
    <row r="193" s="1" customFormat="1" ht="14"/>
    <row r="194" s="1" customFormat="1" ht="14"/>
    <row r="195" s="1" customFormat="1" ht="14"/>
    <row r="196" s="1" customFormat="1" ht="14"/>
    <row r="197" s="1" customFormat="1" ht="14"/>
    <row r="198" s="1" customFormat="1" ht="14"/>
    <row r="199" s="1" customFormat="1" ht="14"/>
    <row r="200" s="1" customFormat="1" ht="14"/>
    <row r="201" s="1" customFormat="1" ht="14"/>
    <row r="202" s="1" customFormat="1" ht="14"/>
    <row r="203" s="1" customFormat="1" ht="14"/>
    <row r="204" s="1" customFormat="1" ht="14"/>
    <row r="205" s="1" customFormat="1" ht="14"/>
    <row r="206" s="1" customFormat="1" ht="14"/>
    <row r="207" s="1" customFormat="1" ht="14"/>
    <row r="208" s="1" customFormat="1" ht="14"/>
    <row r="209" s="1" customFormat="1" ht="14"/>
    <row r="210" s="1" customFormat="1" ht="14"/>
    <row r="211" s="1" customFormat="1" ht="14"/>
  </sheetData>
  <sheetProtection password="A36A" sheet="1" objects="1"/>
  <mergeCells count="80">
    <mergeCell ref="B69:K69"/>
    <mergeCell ref="B1:K1"/>
    <mergeCell ref="C2:I2"/>
    <mergeCell ref="B4:K4"/>
    <mergeCell ref="C10:K10"/>
    <mergeCell ref="C46:K46"/>
    <mergeCell ref="C47:K47"/>
    <mergeCell ref="C48:K48"/>
    <mergeCell ref="C49:K49"/>
    <mergeCell ref="B61:K61"/>
    <mergeCell ref="B66:K66"/>
    <mergeCell ref="C67:I67"/>
    <mergeCell ref="B93:J93"/>
    <mergeCell ref="H71:J71"/>
    <mergeCell ref="E73:G73"/>
    <mergeCell ref="I73:J73"/>
    <mergeCell ref="E75:G75"/>
    <mergeCell ref="E77:F77"/>
    <mergeCell ref="E79:F79"/>
    <mergeCell ref="E81:G81"/>
    <mergeCell ref="E83:F83"/>
    <mergeCell ref="E85:G85"/>
    <mergeCell ref="E87:F87"/>
    <mergeCell ref="B89:K89"/>
    <mergeCell ref="B94:D94"/>
    <mergeCell ref="E94:G94"/>
    <mergeCell ref="I94:J94"/>
    <mergeCell ref="B95:D95"/>
    <mergeCell ref="E95:G95"/>
    <mergeCell ref="I95:J95"/>
    <mergeCell ref="B96:D96"/>
    <mergeCell ref="E96:G96"/>
    <mergeCell ref="I96:J96"/>
    <mergeCell ref="B97:D97"/>
    <mergeCell ref="E97:G97"/>
    <mergeCell ref="I97:J97"/>
    <mergeCell ref="B98:D98"/>
    <mergeCell ref="E98:G98"/>
    <mergeCell ref="I98:J98"/>
    <mergeCell ref="B100:J100"/>
    <mergeCell ref="B101:D101"/>
    <mergeCell ref="E101:G101"/>
    <mergeCell ref="I101:J101"/>
    <mergeCell ref="B108:D108"/>
    <mergeCell ref="E108:G108"/>
    <mergeCell ref="I108:J108"/>
    <mergeCell ref="B102:D102"/>
    <mergeCell ref="E102:G102"/>
    <mergeCell ref="I102:J102"/>
    <mergeCell ref="B103:D103"/>
    <mergeCell ref="E103:G103"/>
    <mergeCell ref="I103:J103"/>
    <mergeCell ref="B105:D105"/>
    <mergeCell ref="B106:J106"/>
    <mergeCell ref="B107:D107"/>
    <mergeCell ref="E107:G107"/>
    <mergeCell ref="I107:J107"/>
    <mergeCell ref="B109:D109"/>
    <mergeCell ref="E109:G109"/>
    <mergeCell ref="I109:J109"/>
    <mergeCell ref="B110:D110"/>
    <mergeCell ref="E110:G110"/>
    <mergeCell ref="I110:J110"/>
    <mergeCell ref="B111:D111"/>
    <mergeCell ref="E111:G111"/>
    <mergeCell ref="I111:J111"/>
    <mergeCell ref="B113:J113"/>
    <mergeCell ref="B114:D114"/>
    <mergeCell ref="E114:G114"/>
    <mergeCell ref="I114:J114"/>
    <mergeCell ref="B120:K120"/>
    <mergeCell ref="E122:G122"/>
    <mergeCell ref="B125:K125"/>
    <mergeCell ref="B127:K127"/>
    <mergeCell ref="B115:D115"/>
    <mergeCell ref="E115:G115"/>
    <mergeCell ref="I115:J115"/>
    <mergeCell ref="B116:D116"/>
    <mergeCell ref="E116:G116"/>
    <mergeCell ref="I116:J116"/>
  </mergeCells>
  <printOptions horizontalCentered="1"/>
  <pageMargins left="0" right="0" top="0.75" bottom="0.75" header="0.3" footer="0.3"/>
  <pageSetup scale="56" fitToHeight="2" orientation="portrait" r:id="rId1"/>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rowBreaks count="1" manualBreakCount="1">
    <brk id="65" min="1" max="10" man="1"/>
  </rowBreaks>
  <drawing r:id="rId2"/>
  <legacyDrawing r:id="rId3"/>
  <controls>
    <mc:AlternateContent xmlns:mc="http://schemas.openxmlformats.org/markup-compatibility/2006">
      <mc:Choice Requires="x14">
        <control shapeId="81929" r:id="rId4" name="CheckBox9">
          <controlPr defaultSize="0" autoLine="0" r:id="rId5">
            <anchor moveWithCells="1">
              <from>
                <xdr:col>7</xdr:col>
                <xdr:colOff>641350</xdr:colOff>
                <xdr:row>104</xdr:row>
                <xdr:rowOff>0</xdr:rowOff>
              </from>
              <to>
                <xdr:col>8</xdr:col>
                <xdr:colOff>552450</xdr:colOff>
                <xdr:row>104</xdr:row>
                <xdr:rowOff>247650</xdr:rowOff>
              </to>
            </anchor>
          </controlPr>
        </control>
      </mc:Choice>
      <mc:Fallback>
        <control shapeId="81929" r:id="rId4" name="CheckBox9"/>
      </mc:Fallback>
    </mc:AlternateContent>
    <mc:AlternateContent xmlns:mc="http://schemas.openxmlformats.org/markup-compatibility/2006">
      <mc:Choice Requires="x14">
        <control shapeId="81928" r:id="rId6" name="CheckBox8">
          <controlPr defaultSize="0" autoLine="0" r:id="rId7">
            <anchor moveWithCells="1">
              <from>
                <xdr:col>6</xdr:col>
                <xdr:colOff>0</xdr:colOff>
                <xdr:row>104</xdr:row>
                <xdr:rowOff>0</xdr:rowOff>
              </from>
              <to>
                <xdr:col>7</xdr:col>
                <xdr:colOff>819150</xdr:colOff>
                <xdr:row>104</xdr:row>
                <xdr:rowOff>247650</xdr:rowOff>
              </to>
            </anchor>
          </controlPr>
        </control>
      </mc:Choice>
      <mc:Fallback>
        <control shapeId="81928" r:id="rId6" name="CheckBox8"/>
      </mc:Fallback>
    </mc:AlternateContent>
    <mc:AlternateContent xmlns:mc="http://schemas.openxmlformats.org/markup-compatibility/2006">
      <mc:Choice Requires="x14">
        <control shapeId="81927" r:id="rId8" name="CheckBox7">
          <controlPr defaultSize="0" autoLine="0" r:id="rId9">
            <anchor moveWithCells="1">
              <from>
                <xdr:col>4</xdr:col>
                <xdr:colOff>0</xdr:colOff>
                <xdr:row>104</xdr:row>
                <xdr:rowOff>0</xdr:rowOff>
              </from>
              <to>
                <xdr:col>5</xdr:col>
                <xdr:colOff>704850</xdr:colOff>
                <xdr:row>104</xdr:row>
                <xdr:rowOff>247650</xdr:rowOff>
              </to>
            </anchor>
          </controlPr>
        </control>
      </mc:Choice>
      <mc:Fallback>
        <control shapeId="81927" r:id="rId8" name="CheckBox7"/>
      </mc:Fallback>
    </mc:AlternateContent>
    <mc:AlternateContent xmlns:mc="http://schemas.openxmlformats.org/markup-compatibility/2006">
      <mc:Choice Requires="x14">
        <control shapeId="81926" r:id="rId10" name="CheckBox6">
          <controlPr defaultSize="0" autoLine="0" r:id="rId11">
            <anchor moveWithCells="1">
              <from>
                <xdr:col>7</xdr:col>
                <xdr:colOff>641350</xdr:colOff>
                <xdr:row>90</xdr:row>
                <xdr:rowOff>0</xdr:rowOff>
              </from>
              <to>
                <xdr:col>8</xdr:col>
                <xdr:colOff>552450</xdr:colOff>
                <xdr:row>91</xdr:row>
                <xdr:rowOff>19050</xdr:rowOff>
              </to>
            </anchor>
          </controlPr>
        </control>
      </mc:Choice>
      <mc:Fallback>
        <control shapeId="81926" r:id="rId10" name="CheckBox6"/>
      </mc:Fallback>
    </mc:AlternateContent>
    <mc:AlternateContent xmlns:mc="http://schemas.openxmlformats.org/markup-compatibility/2006">
      <mc:Choice Requires="x14">
        <control shapeId="81925" r:id="rId12" name="CheckBox5">
          <controlPr defaultSize="0" autoLine="0" r:id="rId13">
            <anchor moveWithCells="1">
              <from>
                <xdr:col>6</xdr:col>
                <xdr:colOff>0</xdr:colOff>
                <xdr:row>90</xdr:row>
                <xdr:rowOff>0</xdr:rowOff>
              </from>
              <to>
                <xdr:col>7</xdr:col>
                <xdr:colOff>819150</xdr:colOff>
                <xdr:row>91</xdr:row>
                <xdr:rowOff>19050</xdr:rowOff>
              </to>
            </anchor>
          </controlPr>
        </control>
      </mc:Choice>
      <mc:Fallback>
        <control shapeId="81925" r:id="rId12" name="CheckBox5"/>
      </mc:Fallback>
    </mc:AlternateContent>
    <mc:AlternateContent xmlns:mc="http://schemas.openxmlformats.org/markup-compatibility/2006">
      <mc:Choice Requires="x14">
        <control shapeId="81924" r:id="rId14" name="CheckBox4">
          <controlPr defaultSize="0" autoLine="0" r:id="rId15">
            <anchor moveWithCells="1">
              <from>
                <xdr:col>4</xdr:col>
                <xdr:colOff>0</xdr:colOff>
                <xdr:row>90</xdr:row>
                <xdr:rowOff>0</xdr:rowOff>
              </from>
              <to>
                <xdr:col>5</xdr:col>
                <xdr:colOff>704850</xdr:colOff>
                <xdr:row>91</xdr:row>
                <xdr:rowOff>19050</xdr:rowOff>
              </to>
            </anchor>
          </controlPr>
        </control>
      </mc:Choice>
      <mc:Fallback>
        <control shapeId="81924" r:id="rId14" name="CheckBox4"/>
      </mc:Fallback>
    </mc:AlternateContent>
    <mc:AlternateContent xmlns:mc="http://schemas.openxmlformats.org/markup-compatibility/2006">
      <mc:Choice Requires="x14">
        <control shapeId="81923" r:id="rId16" name="CheckBox3">
          <controlPr defaultSize="0" autoLine="0" r:id="rId17">
            <anchor moveWithCells="1">
              <from>
                <xdr:col>1</xdr:col>
                <xdr:colOff>107950</xdr:colOff>
                <xdr:row>22</xdr:row>
                <xdr:rowOff>38100</xdr:rowOff>
              </from>
              <to>
                <xdr:col>6</xdr:col>
                <xdr:colOff>628650</xdr:colOff>
                <xdr:row>23</xdr:row>
                <xdr:rowOff>107950</xdr:rowOff>
              </to>
            </anchor>
          </controlPr>
        </control>
      </mc:Choice>
      <mc:Fallback>
        <control shapeId="81923" r:id="rId16" name="CheckBox3"/>
      </mc:Fallback>
    </mc:AlternateContent>
    <mc:AlternateContent xmlns:mc="http://schemas.openxmlformats.org/markup-compatibility/2006">
      <mc:Choice Requires="x14">
        <control shapeId="81922" r:id="rId18" name="CheckBox2">
          <controlPr defaultSize="0" autoLine="0" r:id="rId19">
            <anchor moveWithCells="1">
              <from>
                <xdr:col>1</xdr:col>
                <xdr:colOff>107950</xdr:colOff>
                <xdr:row>15</xdr:row>
                <xdr:rowOff>69850</xdr:rowOff>
              </from>
              <to>
                <xdr:col>4</xdr:col>
                <xdr:colOff>1079500</xdr:colOff>
                <xdr:row>16</xdr:row>
                <xdr:rowOff>133350</xdr:rowOff>
              </to>
            </anchor>
          </controlPr>
        </control>
      </mc:Choice>
      <mc:Fallback>
        <control shapeId="81922" r:id="rId18" name="CheckBox2"/>
      </mc:Fallback>
    </mc:AlternateContent>
    <mc:AlternateContent xmlns:mc="http://schemas.openxmlformats.org/markup-compatibility/2006">
      <mc:Choice Requires="x14">
        <control shapeId="81921" r:id="rId20" name="CheckBox1">
          <controlPr defaultSize="0" autoLine="0" r:id="rId21">
            <anchor moveWithCells="1">
              <from>
                <xdr:col>1</xdr:col>
                <xdr:colOff>107950</xdr:colOff>
                <xdr:row>14</xdr:row>
                <xdr:rowOff>0</xdr:rowOff>
              </from>
              <to>
                <xdr:col>4</xdr:col>
                <xdr:colOff>1079500</xdr:colOff>
                <xdr:row>15</xdr:row>
                <xdr:rowOff>69850</xdr:rowOff>
              </to>
            </anchor>
          </controlPr>
        </control>
      </mc:Choice>
      <mc:Fallback>
        <control shapeId="81921" r:id="rId20" name="CheckBox1"/>
      </mc:Fallback>
    </mc:AlternateContent>
  </control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B13DE-405E-4DDB-8BD6-CC1ABABC7F95}">
  <sheetPr codeName="Sheet31">
    <tabColor rgb="FF92D050"/>
  </sheetPr>
  <dimension ref="A1:WVX100"/>
  <sheetViews>
    <sheetView showGridLines="0" zoomScale="110" zoomScaleNormal="110" workbookViewId="0">
      <selection activeCell="D5" sqref="D5"/>
    </sheetView>
  </sheetViews>
  <sheetFormatPr defaultColWidth="0" defaultRowHeight="0" customHeight="1" zeroHeight="1"/>
  <cols>
    <col min="1" max="1" width="3.81640625" style="339" customWidth="1"/>
    <col min="2" max="2" width="5.81640625" style="339" customWidth="1"/>
    <col min="3" max="3" width="12" style="339" customWidth="1"/>
    <col min="4" max="4" width="13" style="339" customWidth="1"/>
    <col min="5" max="5" width="12" style="339" customWidth="1"/>
    <col min="6" max="6" width="8.81640625" style="339" customWidth="1"/>
    <col min="7" max="7" width="7.81640625" style="339" customWidth="1"/>
    <col min="8" max="8" width="7.1796875" style="339" customWidth="1"/>
    <col min="9" max="9" width="5.81640625" style="339" customWidth="1"/>
    <col min="10" max="10" width="4.54296875" style="339" customWidth="1"/>
    <col min="11" max="11" width="7.1796875" style="339" customWidth="1"/>
    <col min="12" max="13" width="7.81640625" style="339" customWidth="1"/>
    <col min="14" max="14" width="5" style="339" customWidth="1"/>
    <col min="15" max="15" width="5.54296875" style="339" customWidth="1"/>
    <col min="16" max="16" width="4.1796875" style="339" hidden="1" customWidth="1"/>
    <col min="17" max="256" width="9.1796875" style="339" hidden="1"/>
    <col min="257" max="257" width="3.81640625" style="339" hidden="1" customWidth="1"/>
    <col min="258" max="258" width="5.81640625" style="339" hidden="1" customWidth="1"/>
    <col min="259" max="259" width="12" style="339" hidden="1" customWidth="1"/>
    <col min="260" max="260" width="13" style="339" hidden="1" customWidth="1"/>
    <col min="261" max="261" width="12" style="339" hidden="1" customWidth="1"/>
    <col min="262" max="262" width="8.81640625" style="339" hidden="1" customWidth="1"/>
    <col min="263" max="263" width="7.81640625" style="339" hidden="1" customWidth="1"/>
    <col min="264" max="264" width="7.1796875" style="339" hidden="1" customWidth="1"/>
    <col min="265" max="265" width="5.81640625" style="339" hidden="1" customWidth="1"/>
    <col min="266" max="266" width="4.54296875" style="339" hidden="1" customWidth="1"/>
    <col min="267" max="267" width="7.1796875" style="339" hidden="1" customWidth="1"/>
    <col min="268" max="269" width="7.81640625" style="339" hidden="1" customWidth="1"/>
    <col min="270" max="270" width="5" style="339" hidden="1" customWidth="1"/>
    <col min="271" max="271" width="5.54296875" style="339" hidden="1" customWidth="1"/>
    <col min="272" max="272" width="4.1796875" style="339" hidden="1" customWidth="1"/>
    <col min="273" max="512" width="9.1796875" style="339" hidden="1"/>
    <col min="513" max="513" width="3.81640625" style="339" hidden="1" customWidth="1"/>
    <col min="514" max="514" width="5.81640625" style="339" hidden="1" customWidth="1"/>
    <col min="515" max="515" width="12" style="339" hidden="1" customWidth="1"/>
    <col min="516" max="516" width="13" style="339" hidden="1" customWidth="1"/>
    <col min="517" max="517" width="12" style="339" hidden="1" customWidth="1"/>
    <col min="518" max="518" width="8.81640625" style="339" hidden="1" customWidth="1"/>
    <col min="519" max="519" width="7.81640625" style="339" hidden="1" customWidth="1"/>
    <col min="520" max="520" width="7.1796875" style="339" hidden="1" customWidth="1"/>
    <col min="521" max="521" width="5.81640625" style="339" hidden="1" customWidth="1"/>
    <col min="522" max="522" width="4.54296875" style="339" hidden="1" customWidth="1"/>
    <col min="523" max="523" width="7.1796875" style="339" hidden="1" customWidth="1"/>
    <col min="524" max="525" width="7.81640625" style="339" hidden="1" customWidth="1"/>
    <col min="526" max="526" width="5" style="339" hidden="1" customWidth="1"/>
    <col min="527" max="527" width="5.54296875" style="339" hidden="1" customWidth="1"/>
    <col min="528" max="528" width="4.1796875" style="339" hidden="1" customWidth="1"/>
    <col min="529" max="768" width="9.1796875" style="339" hidden="1"/>
    <col min="769" max="769" width="3.81640625" style="339" hidden="1" customWidth="1"/>
    <col min="770" max="770" width="5.81640625" style="339" hidden="1" customWidth="1"/>
    <col min="771" max="771" width="12" style="339" hidden="1" customWidth="1"/>
    <col min="772" max="772" width="13" style="339" hidden="1" customWidth="1"/>
    <col min="773" max="773" width="12" style="339" hidden="1" customWidth="1"/>
    <col min="774" max="774" width="8.81640625" style="339" hidden="1" customWidth="1"/>
    <col min="775" max="775" width="7.81640625" style="339" hidden="1" customWidth="1"/>
    <col min="776" max="776" width="7.1796875" style="339" hidden="1" customWidth="1"/>
    <col min="777" max="777" width="5.81640625" style="339" hidden="1" customWidth="1"/>
    <col min="778" max="778" width="4.54296875" style="339" hidden="1" customWidth="1"/>
    <col min="779" max="779" width="7.1796875" style="339" hidden="1" customWidth="1"/>
    <col min="780" max="781" width="7.81640625" style="339" hidden="1" customWidth="1"/>
    <col min="782" max="782" width="5" style="339" hidden="1" customWidth="1"/>
    <col min="783" max="783" width="5.54296875" style="339" hidden="1" customWidth="1"/>
    <col min="784" max="784" width="4.1796875" style="339" hidden="1" customWidth="1"/>
    <col min="785" max="1024" width="9.1796875" style="339" hidden="1"/>
    <col min="1025" max="1025" width="3.81640625" style="339" hidden="1" customWidth="1"/>
    <col min="1026" max="1026" width="5.81640625" style="339" hidden="1" customWidth="1"/>
    <col min="1027" max="1027" width="12" style="339" hidden="1" customWidth="1"/>
    <col min="1028" max="1028" width="13" style="339" hidden="1" customWidth="1"/>
    <col min="1029" max="1029" width="12" style="339" hidden="1" customWidth="1"/>
    <col min="1030" max="1030" width="8.81640625" style="339" hidden="1" customWidth="1"/>
    <col min="1031" max="1031" width="7.81640625" style="339" hidden="1" customWidth="1"/>
    <col min="1032" max="1032" width="7.1796875" style="339" hidden="1" customWidth="1"/>
    <col min="1033" max="1033" width="5.81640625" style="339" hidden="1" customWidth="1"/>
    <col min="1034" max="1034" width="4.54296875" style="339" hidden="1" customWidth="1"/>
    <col min="1035" max="1035" width="7.1796875" style="339" hidden="1" customWidth="1"/>
    <col min="1036" max="1037" width="7.81640625" style="339" hidden="1" customWidth="1"/>
    <col min="1038" max="1038" width="5" style="339" hidden="1" customWidth="1"/>
    <col min="1039" max="1039" width="5.54296875" style="339" hidden="1" customWidth="1"/>
    <col min="1040" max="1040" width="4.1796875" style="339" hidden="1" customWidth="1"/>
    <col min="1041" max="1280" width="9.1796875" style="339" hidden="1"/>
    <col min="1281" max="1281" width="3.81640625" style="339" hidden="1" customWidth="1"/>
    <col min="1282" max="1282" width="5.81640625" style="339" hidden="1" customWidth="1"/>
    <col min="1283" max="1283" width="12" style="339" hidden="1" customWidth="1"/>
    <col min="1284" max="1284" width="13" style="339" hidden="1" customWidth="1"/>
    <col min="1285" max="1285" width="12" style="339" hidden="1" customWidth="1"/>
    <col min="1286" max="1286" width="8.81640625" style="339" hidden="1" customWidth="1"/>
    <col min="1287" max="1287" width="7.81640625" style="339" hidden="1" customWidth="1"/>
    <col min="1288" max="1288" width="7.1796875" style="339" hidden="1" customWidth="1"/>
    <col min="1289" max="1289" width="5.81640625" style="339" hidden="1" customWidth="1"/>
    <col min="1290" max="1290" width="4.54296875" style="339" hidden="1" customWidth="1"/>
    <col min="1291" max="1291" width="7.1796875" style="339" hidden="1" customWidth="1"/>
    <col min="1292" max="1293" width="7.81640625" style="339" hidden="1" customWidth="1"/>
    <col min="1294" max="1294" width="5" style="339" hidden="1" customWidth="1"/>
    <col min="1295" max="1295" width="5.54296875" style="339" hidden="1" customWidth="1"/>
    <col min="1296" max="1296" width="4.1796875" style="339" hidden="1" customWidth="1"/>
    <col min="1297" max="1536" width="9.1796875" style="339" hidden="1"/>
    <col min="1537" max="1537" width="3.81640625" style="339" hidden="1" customWidth="1"/>
    <col min="1538" max="1538" width="5.81640625" style="339" hidden="1" customWidth="1"/>
    <col min="1539" max="1539" width="12" style="339" hidden="1" customWidth="1"/>
    <col min="1540" max="1540" width="13" style="339" hidden="1" customWidth="1"/>
    <col min="1541" max="1541" width="12" style="339" hidden="1" customWidth="1"/>
    <col min="1542" max="1542" width="8.81640625" style="339" hidden="1" customWidth="1"/>
    <col min="1543" max="1543" width="7.81640625" style="339" hidden="1" customWidth="1"/>
    <col min="1544" max="1544" width="7.1796875" style="339" hidden="1" customWidth="1"/>
    <col min="1545" max="1545" width="5.81640625" style="339" hidden="1" customWidth="1"/>
    <col min="1546" max="1546" width="4.54296875" style="339" hidden="1" customWidth="1"/>
    <col min="1547" max="1547" width="7.1796875" style="339" hidden="1" customWidth="1"/>
    <col min="1548" max="1549" width="7.81640625" style="339" hidden="1" customWidth="1"/>
    <col min="1550" max="1550" width="5" style="339" hidden="1" customWidth="1"/>
    <col min="1551" max="1551" width="5.54296875" style="339" hidden="1" customWidth="1"/>
    <col min="1552" max="1552" width="4.1796875" style="339" hidden="1" customWidth="1"/>
    <col min="1553" max="1792" width="9.1796875" style="339" hidden="1"/>
    <col min="1793" max="1793" width="3.81640625" style="339" hidden="1" customWidth="1"/>
    <col min="1794" max="1794" width="5.81640625" style="339" hidden="1" customWidth="1"/>
    <col min="1795" max="1795" width="12" style="339" hidden="1" customWidth="1"/>
    <col min="1796" max="1796" width="13" style="339" hidden="1" customWidth="1"/>
    <col min="1797" max="1797" width="12" style="339" hidden="1" customWidth="1"/>
    <col min="1798" max="1798" width="8.81640625" style="339" hidden="1" customWidth="1"/>
    <col min="1799" max="1799" width="7.81640625" style="339" hidden="1" customWidth="1"/>
    <col min="1800" max="1800" width="7.1796875" style="339" hidden="1" customWidth="1"/>
    <col min="1801" max="1801" width="5.81640625" style="339" hidden="1" customWidth="1"/>
    <col min="1802" max="1802" width="4.54296875" style="339" hidden="1" customWidth="1"/>
    <col min="1803" max="1803" width="7.1796875" style="339" hidden="1" customWidth="1"/>
    <col min="1804" max="1805" width="7.81640625" style="339" hidden="1" customWidth="1"/>
    <col min="1806" max="1806" width="5" style="339" hidden="1" customWidth="1"/>
    <col min="1807" max="1807" width="5.54296875" style="339" hidden="1" customWidth="1"/>
    <col min="1808" max="1808" width="4.1796875" style="339" hidden="1" customWidth="1"/>
    <col min="1809" max="2048" width="9.1796875" style="339" hidden="1"/>
    <col min="2049" max="2049" width="3.81640625" style="339" hidden="1" customWidth="1"/>
    <col min="2050" max="2050" width="5.81640625" style="339" hidden="1" customWidth="1"/>
    <col min="2051" max="2051" width="12" style="339" hidden="1" customWidth="1"/>
    <col min="2052" max="2052" width="13" style="339" hidden="1" customWidth="1"/>
    <col min="2053" max="2053" width="12" style="339" hidden="1" customWidth="1"/>
    <col min="2054" max="2054" width="8.81640625" style="339" hidden="1" customWidth="1"/>
    <col min="2055" max="2055" width="7.81640625" style="339" hidden="1" customWidth="1"/>
    <col min="2056" max="2056" width="7.1796875" style="339" hidden="1" customWidth="1"/>
    <col min="2057" max="2057" width="5.81640625" style="339" hidden="1" customWidth="1"/>
    <col min="2058" max="2058" width="4.54296875" style="339" hidden="1" customWidth="1"/>
    <col min="2059" max="2059" width="7.1796875" style="339" hidden="1" customWidth="1"/>
    <col min="2060" max="2061" width="7.81640625" style="339" hidden="1" customWidth="1"/>
    <col min="2062" max="2062" width="5" style="339" hidden="1" customWidth="1"/>
    <col min="2063" max="2063" width="5.54296875" style="339" hidden="1" customWidth="1"/>
    <col min="2064" max="2064" width="4.1796875" style="339" hidden="1" customWidth="1"/>
    <col min="2065" max="2304" width="9.1796875" style="339" hidden="1"/>
    <col min="2305" max="2305" width="3.81640625" style="339" hidden="1" customWidth="1"/>
    <col min="2306" max="2306" width="5.81640625" style="339" hidden="1" customWidth="1"/>
    <col min="2307" max="2307" width="12" style="339" hidden="1" customWidth="1"/>
    <col min="2308" max="2308" width="13" style="339" hidden="1" customWidth="1"/>
    <col min="2309" max="2309" width="12" style="339" hidden="1" customWidth="1"/>
    <col min="2310" max="2310" width="8.81640625" style="339" hidden="1" customWidth="1"/>
    <col min="2311" max="2311" width="7.81640625" style="339" hidden="1" customWidth="1"/>
    <col min="2312" max="2312" width="7.1796875" style="339" hidden="1" customWidth="1"/>
    <col min="2313" max="2313" width="5.81640625" style="339" hidden="1" customWidth="1"/>
    <col min="2314" max="2314" width="4.54296875" style="339" hidden="1" customWidth="1"/>
    <col min="2315" max="2315" width="7.1796875" style="339" hidden="1" customWidth="1"/>
    <col min="2316" max="2317" width="7.81640625" style="339" hidden="1" customWidth="1"/>
    <col min="2318" max="2318" width="5" style="339" hidden="1" customWidth="1"/>
    <col min="2319" max="2319" width="5.54296875" style="339" hidden="1" customWidth="1"/>
    <col min="2320" max="2320" width="4.1796875" style="339" hidden="1" customWidth="1"/>
    <col min="2321" max="2560" width="9.1796875" style="339" hidden="1"/>
    <col min="2561" max="2561" width="3.81640625" style="339" hidden="1" customWidth="1"/>
    <col min="2562" max="2562" width="5.81640625" style="339" hidden="1" customWidth="1"/>
    <col min="2563" max="2563" width="12" style="339" hidden="1" customWidth="1"/>
    <col min="2564" max="2564" width="13" style="339" hidden="1" customWidth="1"/>
    <col min="2565" max="2565" width="12" style="339" hidden="1" customWidth="1"/>
    <col min="2566" max="2566" width="8.81640625" style="339" hidden="1" customWidth="1"/>
    <col min="2567" max="2567" width="7.81640625" style="339" hidden="1" customWidth="1"/>
    <col min="2568" max="2568" width="7.1796875" style="339" hidden="1" customWidth="1"/>
    <col min="2569" max="2569" width="5.81640625" style="339" hidden="1" customWidth="1"/>
    <col min="2570" max="2570" width="4.54296875" style="339" hidden="1" customWidth="1"/>
    <col min="2571" max="2571" width="7.1796875" style="339" hidden="1" customWidth="1"/>
    <col min="2572" max="2573" width="7.81640625" style="339" hidden="1" customWidth="1"/>
    <col min="2574" max="2574" width="5" style="339" hidden="1" customWidth="1"/>
    <col min="2575" max="2575" width="5.54296875" style="339" hidden="1" customWidth="1"/>
    <col min="2576" max="2576" width="4.1796875" style="339" hidden="1" customWidth="1"/>
    <col min="2577" max="2816" width="9.1796875" style="339" hidden="1"/>
    <col min="2817" max="2817" width="3.81640625" style="339" hidden="1" customWidth="1"/>
    <col min="2818" max="2818" width="5.81640625" style="339" hidden="1" customWidth="1"/>
    <col min="2819" max="2819" width="12" style="339" hidden="1" customWidth="1"/>
    <col min="2820" max="2820" width="13" style="339" hidden="1" customWidth="1"/>
    <col min="2821" max="2821" width="12" style="339" hidden="1" customWidth="1"/>
    <col min="2822" max="2822" width="8.81640625" style="339" hidden="1" customWidth="1"/>
    <col min="2823" max="2823" width="7.81640625" style="339" hidden="1" customWidth="1"/>
    <col min="2824" max="2824" width="7.1796875" style="339" hidden="1" customWidth="1"/>
    <col min="2825" max="2825" width="5.81640625" style="339" hidden="1" customWidth="1"/>
    <col min="2826" max="2826" width="4.54296875" style="339" hidden="1" customWidth="1"/>
    <col min="2827" max="2827" width="7.1796875" style="339" hidden="1" customWidth="1"/>
    <col min="2828" max="2829" width="7.81640625" style="339" hidden="1" customWidth="1"/>
    <col min="2830" max="2830" width="5" style="339" hidden="1" customWidth="1"/>
    <col min="2831" max="2831" width="5.54296875" style="339" hidden="1" customWidth="1"/>
    <col min="2832" max="2832" width="4.1796875" style="339" hidden="1" customWidth="1"/>
    <col min="2833" max="3072" width="9.1796875" style="339" hidden="1"/>
    <col min="3073" max="3073" width="3.81640625" style="339" hidden="1" customWidth="1"/>
    <col min="3074" max="3074" width="5.81640625" style="339" hidden="1" customWidth="1"/>
    <col min="3075" max="3075" width="12" style="339" hidden="1" customWidth="1"/>
    <col min="3076" max="3076" width="13" style="339" hidden="1" customWidth="1"/>
    <col min="3077" max="3077" width="12" style="339" hidden="1" customWidth="1"/>
    <col min="3078" max="3078" width="8.81640625" style="339" hidden="1" customWidth="1"/>
    <col min="3079" max="3079" width="7.81640625" style="339" hidden="1" customWidth="1"/>
    <col min="3080" max="3080" width="7.1796875" style="339" hidden="1" customWidth="1"/>
    <col min="3081" max="3081" width="5.81640625" style="339" hidden="1" customWidth="1"/>
    <col min="3082" max="3082" width="4.54296875" style="339" hidden="1" customWidth="1"/>
    <col min="3083" max="3083" width="7.1796875" style="339" hidden="1" customWidth="1"/>
    <col min="3084" max="3085" width="7.81640625" style="339" hidden="1" customWidth="1"/>
    <col min="3086" max="3086" width="5" style="339" hidden="1" customWidth="1"/>
    <col min="3087" max="3087" width="5.54296875" style="339" hidden="1" customWidth="1"/>
    <col min="3088" max="3088" width="4.1796875" style="339" hidden="1" customWidth="1"/>
    <col min="3089" max="3328" width="9.1796875" style="339" hidden="1"/>
    <col min="3329" max="3329" width="3.81640625" style="339" hidden="1" customWidth="1"/>
    <col min="3330" max="3330" width="5.81640625" style="339" hidden="1" customWidth="1"/>
    <col min="3331" max="3331" width="12" style="339" hidden="1" customWidth="1"/>
    <col min="3332" max="3332" width="13" style="339" hidden="1" customWidth="1"/>
    <col min="3333" max="3333" width="12" style="339" hidden="1" customWidth="1"/>
    <col min="3334" max="3334" width="8.81640625" style="339" hidden="1" customWidth="1"/>
    <col min="3335" max="3335" width="7.81640625" style="339" hidden="1" customWidth="1"/>
    <col min="3336" max="3336" width="7.1796875" style="339" hidden="1" customWidth="1"/>
    <col min="3337" max="3337" width="5.81640625" style="339" hidden="1" customWidth="1"/>
    <col min="3338" max="3338" width="4.54296875" style="339" hidden="1" customWidth="1"/>
    <col min="3339" max="3339" width="7.1796875" style="339" hidden="1" customWidth="1"/>
    <col min="3340" max="3341" width="7.81640625" style="339" hidden="1" customWidth="1"/>
    <col min="3342" max="3342" width="5" style="339" hidden="1" customWidth="1"/>
    <col min="3343" max="3343" width="5.54296875" style="339" hidden="1" customWidth="1"/>
    <col min="3344" max="3344" width="4.1796875" style="339" hidden="1" customWidth="1"/>
    <col min="3345" max="3584" width="9.1796875" style="339" hidden="1"/>
    <col min="3585" max="3585" width="3.81640625" style="339" hidden="1" customWidth="1"/>
    <col min="3586" max="3586" width="5.81640625" style="339" hidden="1" customWidth="1"/>
    <col min="3587" max="3587" width="12" style="339" hidden="1" customWidth="1"/>
    <col min="3588" max="3588" width="13" style="339" hidden="1" customWidth="1"/>
    <col min="3589" max="3589" width="12" style="339" hidden="1" customWidth="1"/>
    <col min="3590" max="3590" width="8.81640625" style="339" hidden="1" customWidth="1"/>
    <col min="3591" max="3591" width="7.81640625" style="339" hidden="1" customWidth="1"/>
    <col min="3592" max="3592" width="7.1796875" style="339" hidden="1" customWidth="1"/>
    <col min="3593" max="3593" width="5.81640625" style="339" hidden="1" customWidth="1"/>
    <col min="3594" max="3594" width="4.54296875" style="339" hidden="1" customWidth="1"/>
    <col min="3595" max="3595" width="7.1796875" style="339" hidden="1" customWidth="1"/>
    <col min="3596" max="3597" width="7.81640625" style="339" hidden="1" customWidth="1"/>
    <col min="3598" max="3598" width="5" style="339" hidden="1" customWidth="1"/>
    <col min="3599" max="3599" width="5.54296875" style="339" hidden="1" customWidth="1"/>
    <col min="3600" max="3600" width="4.1796875" style="339" hidden="1" customWidth="1"/>
    <col min="3601" max="3840" width="9.1796875" style="339" hidden="1"/>
    <col min="3841" max="3841" width="3.81640625" style="339" hidden="1" customWidth="1"/>
    <col min="3842" max="3842" width="5.81640625" style="339" hidden="1" customWidth="1"/>
    <col min="3843" max="3843" width="12" style="339" hidden="1" customWidth="1"/>
    <col min="3844" max="3844" width="13" style="339" hidden="1" customWidth="1"/>
    <col min="3845" max="3845" width="12" style="339" hidden="1" customWidth="1"/>
    <col min="3846" max="3846" width="8.81640625" style="339" hidden="1" customWidth="1"/>
    <col min="3847" max="3847" width="7.81640625" style="339" hidden="1" customWidth="1"/>
    <col min="3848" max="3848" width="7.1796875" style="339" hidden="1" customWidth="1"/>
    <col min="3849" max="3849" width="5.81640625" style="339" hidden="1" customWidth="1"/>
    <col min="3850" max="3850" width="4.54296875" style="339" hidden="1" customWidth="1"/>
    <col min="3851" max="3851" width="7.1796875" style="339" hidden="1" customWidth="1"/>
    <col min="3852" max="3853" width="7.81640625" style="339" hidden="1" customWidth="1"/>
    <col min="3854" max="3854" width="5" style="339" hidden="1" customWidth="1"/>
    <col min="3855" max="3855" width="5.54296875" style="339" hidden="1" customWidth="1"/>
    <col min="3856" max="3856" width="4.1796875" style="339" hidden="1" customWidth="1"/>
    <col min="3857" max="4096" width="9.1796875" style="339" hidden="1"/>
    <col min="4097" max="4097" width="3.81640625" style="339" hidden="1" customWidth="1"/>
    <col min="4098" max="4098" width="5.81640625" style="339" hidden="1" customWidth="1"/>
    <col min="4099" max="4099" width="12" style="339" hidden="1" customWidth="1"/>
    <col min="4100" max="4100" width="13" style="339" hidden="1" customWidth="1"/>
    <col min="4101" max="4101" width="12" style="339" hidden="1" customWidth="1"/>
    <col min="4102" max="4102" width="8.81640625" style="339" hidden="1" customWidth="1"/>
    <col min="4103" max="4103" width="7.81640625" style="339" hidden="1" customWidth="1"/>
    <col min="4104" max="4104" width="7.1796875" style="339" hidden="1" customWidth="1"/>
    <col min="4105" max="4105" width="5.81640625" style="339" hidden="1" customWidth="1"/>
    <col min="4106" max="4106" width="4.54296875" style="339" hidden="1" customWidth="1"/>
    <col min="4107" max="4107" width="7.1796875" style="339" hidden="1" customWidth="1"/>
    <col min="4108" max="4109" width="7.81640625" style="339" hidden="1" customWidth="1"/>
    <col min="4110" max="4110" width="5" style="339" hidden="1" customWidth="1"/>
    <col min="4111" max="4111" width="5.54296875" style="339" hidden="1" customWidth="1"/>
    <col min="4112" max="4112" width="4.1796875" style="339" hidden="1" customWidth="1"/>
    <col min="4113" max="4352" width="9.1796875" style="339" hidden="1"/>
    <col min="4353" max="4353" width="3.81640625" style="339" hidden="1" customWidth="1"/>
    <col min="4354" max="4354" width="5.81640625" style="339" hidden="1" customWidth="1"/>
    <col min="4355" max="4355" width="12" style="339" hidden="1" customWidth="1"/>
    <col min="4356" max="4356" width="13" style="339" hidden="1" customWidth="1"/>
    <col min="4357" max="4357" width="12" style="339" hidden="1" customWidth="1"/>
    <col min="4358" max="4358" width="8.81640625" style="339" hidden="1" customWidth="1"/>
    <col min="4359" max="4359" width="7.81640625" style="339" hidden="1" customWidth="1"/>
    <col min="4360" max="4360" width="7.1796875" style="339" hidden="1" customWidth="1"/>
    <col min="4361" max="4361" width="5.81640625" style="339" hidden="1" customWidth="1"/>
    <col min="4362" max="4362" width="4.54296875" style="339" hidden="1" customWidth="1"/>
    <col min="4363" max="4363" width="7.1796875" style="339" hidden="1" customWidth="1"/>
    <col min="4364" max="4365" width="7.81640625" style="339" hidden="1" customWidth="1"/>
    <col min="4366" max="4366" width="5" style="339" hidden="1" customWidth="1"/>
    <col min="4367" max="4367" width="5.54296875" style="339" hidden="1" customWidth="1"/>
    <col min="4368" max="4368" width="4.1796875" style="339" hidden="1" customWidth="1"/>
    <col min="4369" max="4608" width="9.1796875" style="339" hidden="1"/>
    <col min="4609" max="4609" width="3.81640625" style="339" hidden="1" customWidth="1"/>
    <col min="4610" max="4610" width="5.81640625" style="339" hidden="1" customWidth="1"/>
    <col min="4611" max="4611" width="12" style="339" hidden="1" customWidth="1"/>
    <col min="4612" max="4612" width="13" style="339" hidden="1" customWidth="1"/>
    <col min="4613" max="4613" width="12" style="339" hidden="1" customWidth="1"/>
    <col min="4614" max="4614" width="8.81640625" style="339" hidden="1" customWidth="1"/>
    <col min="4615" max="4615" width="7.81640625" style="339" hidden="1" customWidth="1"/>
    <col min="4616" max="4616" width="7.1796875" style="339" hidden="1" customWidth="1"/>
    <col min="4617" max="4617" width="5.81640625" style="339" hidden="1" customWidth="1"/>
    <col min="4618" max="4618" width="4.54296875" style="339" hidden="1" customWidth="1"/>
    <col min="4619" max="4619" width="7.1796875" style="339" hidden="1" customWidth="1"/>
    <col min="4620" max="4621" width="7.81640625" style="339" hidden="1" customWidth="1"/>
    <col min="4622" max="4622" width="5" style="339" hidden="1" customWidth="1"/>
    <col min="4623" max="4623" width="5.54296875" style="339" hidden="1" customWidth="1"/>
    <col min="4624" max="4624" width="4.1796875" style="339" hidden="1" customWidth="1"/>
    <col min="4625" max="4864" width="9.1796875" style="339" hidden="1"/>
    <col min="4865" max="4865" width="3.81640625" style="339" hidden="1" customWidth="1"/>
    <col min="4866" max="4866" width="5.81640625" style="339" hidden="1" customWidth="1"/>
    <col min="4867" max="4867" width="12" style="339" hidden="1" customWidth="1"/>
    <col min="4868" max="4868" width="13" style="339" hidden="1" customWidth="1"/>
    <col min="4869" max="4869" width="12" style="339" hidden="1" customWidth="1"/>
    <col min="4870" max="4870" width="8.81640625" style="339" hidden="1" customWidth="1"/>
    <col min="4871" max="4871" width="7.81640625" style="339" hidden="1" customWidth="1"/>
    <col min="4872" max="4872" width="7.1796875" style="339" hidden="1" customWidth="1"/>
    <col min="4873" max="4873" width="5.81640625" style="339" hidden="1" customWidth="1"/>
    <col min="4874" max="4874" width="4.54296875" style="339" hidden="1" customWidth="1"/>
    <col min="4875" max="4875" width="7.1796875" style="339" hidden="1" customWidth="1"/>
    <col min="4876" max="4877" width="7.81640625" style="339" hidden="1" customWidth="1"/>
    <col min="4878" max="4878" width="5" style="339" hidden="1" customWidth="1"/>
    <col min="4879" max="4879" width="5.54296875" style="339" hidden="1" customWidth="1"/>
    <col min="4880" max="4880" width="4.1796875" style="339" hidden="1" customWidth="1"/>
    <col min="4881" max="5120" width="9.1796875" style="339" hidden="1"/>
    <col min="5121" max="5121" width="3.81640625" style="339" hidden="1" customWidth="1"/>
    <col min="5122" max="5122" width="5.81640625" style="339" hidden="1" customWidth="1"/>
    <col min="5123" max="5123" width="12" style="339" hidden="1" customWidth="1"/>
    <col min="5124" max="5124" width="13" style="339" hidden="1" customWidth="1"/>
    <col min="5125" max="5125" width="12" style="339" hidden="1" customWidth="1"/>
    <col min="5126" max="5126" width="8.81640625" style="339" hidden="1" customWidth="1"/>
    <col min="5127" max="5127" width="7.81640625" style="339" hidden="1" customWidth="1"/>
    <col min="5128" max="5128" width="7.1796875" style="339" hidden="1" customWidth="1"/>
    <col min="5129" max="5129" width="5.81640625" style="339" hidden="1" customWidth="1"/>
    <col min="5130" max="5130" width="4.54296875" style="339" hidden="1" customWidth="1"/>
    <col min="5131" max="5131" width="7.1796875" style="339" hidden="1" customWidth="1"/>
    <col min="5132" max="5133" width="7.81640625" style="339" hidden="1" customWidth="1"/>
    <col min="5134" max="5134" width="5" style="339" hidden="1" customWidth="1"/>
    <col min="5135" max="5135" width="5.54296875" style="339" hidden="1" customWidth="1"/>
    <col min="5136" max="5136" width="4.1796875" style="339" hidden="1" customWidth="1"/>
    <col min="5137" max="5376" width="9.1796875" style="339" hidden="1"/>
    <col min="5377" max="5377" width="3.81640625" style="339" hidden="1" customWidth="1"/>
    <col min="5378" max="5378" width="5.81640625" style="339" hidden="1" customWidth="1"/>
    <col min="5379" max="5379" width="12" style="339" hidden="1" customWidth="1"/>
    <col min="5380" max="5380" width="13" style="339" hidden="1" customWidth="1"/>
    <col min="5381" max="5381" width="12" style="339" hidden="1" customWidth="1"/>
    <col min="5382" max="5382" width="8.81640625" style="339" hidden="1" customWidth="1"/>
    <col min="5383" max="5383" width="7.81640625" style="339" hidden="1" customWidth="1"/>
    <col min="5384" max="5384" width="7.1796875" style="339" hidden="1" customWidth="1"/>
    <col min="5385" max="5385" width="5.81640625" style="339" hidden="1" customWidth="1"/>
    <col min="5386" max="5386" width="4.54296875" style="339" hidden="1" customWidth="1"/>
    <col min="5387" max="5387" width="7.1796875" style="339" hidden="1" customWidth="1"/>
    <col min="5388" max="5389" width="7.81640625" style="339" hidden="1" customWidth="1"/>
    <col min="5390" max="5390" width="5" style="339" hidden="1" customWidth="1"/>
    <col min="5391" max="5391" width="5.54296875" style="339" hidden="1" customWidth="1"/>
    <col min="5392" max="5392" width="4.1796875" style="339" hidden="1" customWidth="1"/>
    <col min="5393" max="5632" width="9.1796875" style="339" hidden="1"/>
    <col min="5633" max="5633" width="3.81640625" style="339" hidden="1" customWidth="1"/>
    <col min="5634" max="5634" width="5.81640625" style="339" hidden="1" customWidth="1"/>
    <col min="5635" max="5635" width="12" style="339" hidden="1" customWidth="1"/>
    <col min="5636" max="5636" width="13" style="339" hidden="1" customWidth="1"/>
    <col min="5637" max="5637" width="12" style="339" hidden="1" customWidth="1"/>
    <col min="5638" max="5638" width="8.81640625" style="339" hidden="1" customWidth="1"/>
    <col min="5639" max="5639" width="7.81640625" style="339" hidden="1" customWidth="1"/>
    <col min="5640" max="5640" width="7.1796875" style="339" hidden="1" customWidth="1"/>
    <col min="5641" max="5641" width="5.81640625" style="339" hidden="1" customWidth="1"/>
    <col min="5642" max="5642" width="4.54296875" style="339" hidden="1" customWidth="1"/>
    <col min="5643" max="5643" width="7.1796875" style="339" hidden="1" customWidth="1"/>
    <col min="5644" max="5645" width="7.81640625" style="339" hidden="1" customWidth="1"/>
    <col min="5646" max="5646" width="5" style="339" hidden="1" customWidth="1"/>
    <col min="5647" max="5647" width="5.54296875" style="339" hidden="1" customWidth="1"/>
    <col min="5648" max="5648" width="4.1796875" style="339" hidden="1" customWidth="1"/>
    <col min="5649" max="5888" width="9.1796875" style="339" hidden="1"/>
    <col min="5889" max="5889" width="3.81640625" style="339" hidden="1" customWidth="1"/>
    <col min="5890" max="5890" width="5.81640625" style="339" hidden="1" customWidth="1"/>
    <col min="5891" max="5891" width="12" style="339" hidden="1" customWidth="1"/>
    <col min="5892" max="5892" width="13" style="339" hidden="1" customWidth="1"/>
    <col min="5893" max="5893" width="12" style="339" hidden="1" customWidth="1"/>
    <col min="5894" max="5894" width="8.81640625" style="339" hidden="1" customWidth="1"/>
    <col min="5895" max="5895" width="7.81640625" style="339" hidden="1" customWidth="1"/>
    <col min="5896" max="5896" width="7.1796875" style="339" hidden="1" customWidth="1"/>
    <col min="5897" max="5897" width="5.81640625" style="339" hidden="1" customWidth="1"/>
    <col min="5898" max="5898" width="4.54296875" style="339" hidden="1" customWidth="1"/>
    <col min="5899" max="5899" width="7.1796875" style="339" hidden="1" customWidth="1"/>
    <col min="5900" max="5901" width="7.81640625" style="339" hidden="1" customWidth="1"/>
    <col min="5902" max="5902" width="5" style="339" hidden="1" customWidth="1"/>
    <col min="5903" max="5903" width="5.54296875" style="339" hidden="1" customWidth="1"/>
    <col min="5904" max="5904" width="4.1796875" style="339" hidden="1" customWidth="1"/>
    <col min="5905" max="6144" width="9.1796875" style="339" hidden="1"/>
    <col min="6145" max="6145" width="3.81640625" style="339" hidden="1" customWidth="1"/>
    <col min="6146" max="6146" width="5.81640625" style="339" hidden="1" customWidth="1"/>
    <col min="6147" max="6147" width="12" style="339" hidden="1" customWidth="1"/>
    <col min="6148" max="6148" width="13" style="339" hidden="1" customWidth="1"/>
    <col min="6149" max="6149" width="12" style="339" hidden="1" customWidth="1"/>
    <col min="6150" max="6150" width="8.81640625" style="339" hidden="1" customWidth="1"/>
    <col min="6151" max="6151" width="7.81640625" style="339" hidden="1" customWidth="1"/>
    <col min="6152" max="6152" width="7.1796875" style="339" hidden="1" customWidth="1"/>
    <col min="6153" max="6153" width="5.81640625" style="339" hidden="1" customWidth="1"/>
    <col min="6154" max="6154" width="4.54296875" style="339" hidden="1" customWidth="1"/>
    <col min="6155" max="6155" width="7.1796875" style="339" hidden="1" customWidth="1"/>
    <col min="6156" max="6157" width="7.81640625" style="339" hidden="1" customWidth="1"/>
    <col min="6158" max="6158" width="5" style="339" hidden="1" customWidth="1"/>
    <col min="6159" max="6159" width="5.54296875" style="339" hidden="1" customWidth="1"/>
    <col min="6160" max="6160" width="4.1796875" style="339" hidden="1" customWidth="1"/>
    <col min="6161" max="6400" width="9.1796875" style="339" hidden="1"/>
    <col min="6401" max="6401" width="3.81640625" style="339" hidden="1" customWidth="1"/>
    <col min="6402" max="6402" width="5.81640625" style="339" hidden="1" customWidth="1"/>
    <col min="6403" max="6403" width="12" style="339" hidden="1" customWidth="1"/>
    <col min="6404" max="6404" width="13" style="339" hidden="1" customWidth="1"/>
    <col min="6405" max="6405" width="12" style="339" hidden="1" customWidth="1"/>
    <col min="6406" max="6406" width="8.81640625" style="339" hidden="1" customWidth="1"/>
    <col min="6407" max="6407" width="7.81640625" style="339" hidden="1" customWidth="1"/>
    <col min="6408" max="6408" width="7.1796875" style="339" hidden="1" customWidth="1"/>
    <col min="6409" max="6409" width="5.81640625" style="339" hidden="1" customWidth="1"/>
    <col min="6410" max="6410" width="4.54296875" style="339" hidden="1" customWidth="1"/>
    <col min="6411" max="6411" width="7.1796875" style="339" hidden="1" customWidth="1"/>
    <col min="6412" max="6413" width="7.81640625" style="339" hidden="1" customWidth="1"/>
    <col min="6414" max="6414" width="5" style="339" hidden="1" customWidth="1"/>
    <col min="6415" max="6415" width="5.54296875" style="339" hidden="1" customWidth="1"/>
    <col min="6416" max="6416" width="4.1796875" style="339" hidden="1" customWidth="1"/>
    <col min="6417" max="6656" width="9.1796875" style="339" hidden="1"/>
    <col min="6657" max="6657" width="3.81640625" style="339" hidden="1" customWidth="1"/>
    <col min="6658" max="6658" width="5.81640625" style="339" hidden="1" customWidth="1"/>
    <col min="6659" max="6659" width="12" style="339" hidden="1" customWidth="1"/>
    <col min="6660" max="6660" width="13" style="339" hidden="1" customWidth="1"/>
    <col min="6661" max="6661" width="12" style="339" hidden="1" customWidth="1"/>
    <col min="6662" max="6662" width="8.81640625" style="339" hidden="1" customWidth="1"/>
    <col min="6663" max="6663" width="7.81640625" style="339" hidden="1" customWidth="1"/>
    <col min="6664" max="6664" width="7.1796875" style="339" hidden="1" customWidth="1"/>
    <col min="6665" max="6665" width="5.81640625" style="339" hidden="1" customWidth="1"/>
    <col min="6666" max="6666" width="4.54296875" style="339" hidden="1" customWidth="1"/>
    <col min="6667" max="6667" width="7.1796875" style="339" hidden="1" customWidth="1"/>
    <col min="6668" max="6669" width="7.81640625" style="339" hidden="1" customWidth="1"/>
    <col min="6670" max="6670" width="5" style="339" hidden="1" customWidth="1"/>
    <col min="6671" max="6671" width="5.54296875" style="339" hidden="1" customWidth="1"/>
    <col min="6672" max="6672" width="4.1796875" style="339" hidden="1" customWidth="1"/>
    <col min="6673" max="6912" width="9.1796875" style="339" hidden="1"/>
    <col min="6913" max="6913" width="3.81640625" style="339" hidden="1" customWidth="1"/>
    <col min="6914" max="6914" width="5.81640625" style="339" hidden="1" customWidth="1"/>
    <col min="6915" max="6915" width="12" style="339" hidden="1" customWidth="1"/>
    <col min="6916" max="6916" width="13" style="339" hidden="1" customWidth="1"/>
    <col min="6917" max="6917" width="12" style="339" hidden="1" customWidth="1"/>
    <col min="6918" max="6918" width="8.81640625" style="339" hidden="1" customWidth="1"/>
    <col min="6919" max="6919" width="7.81640625" style="339" hidden="1" customWidth="1"/>
    <col min="6920" max="6920" width="7.1796875" style="339" hidden="1" customWidth="1"/>
    <col min="6921" max="6921" width="5.81640625" style="339" hidden="1" customWidth="1"/>
    <col min="6922" max="6922" width="4.54296875" style="339" hidden="1" customWidth="1"/>
    <col min="6923" max="6923" width="7.1796875" style="339" hidden="1" customWidth="1"/>
    <col min="6924" max="6925" width="7.81640625" style="339" hidden="1" customWidth="1"/>
    <col min="6926" max="6926" width="5" style="339" hidden="1" customWidth="1"/>
    <col min="6927" max="6927" width="5.54296875" style="339" hidden="1" customWidth="1"/>
    <col min="6928" max="6928" width="4.1796875" style="339" hidden="1" customWidth="1"/>
    <col min="6929" max="7168" width="9.1796875" style="339" hidden="1"/>
    <col min="7169" max="7169" width="3.81640625" style="339" hidden="1" customWidth="1"/>
    <col min="7170" max="7170" width="5.81640625" style="339" hidden="1" customWidth="1"/>
    <col min="7171" max="7171" width="12" style="339" hidden="1" customWidth="1"/>
    <col min="7172" max="7172" width="13" style="339" hidden="1" customWidth="1"/>
    <col min="7173" max="7173" width="12" style="339" hidden="1" customWidth="1"/>
    <col min="7174" max="7174" width="8.81640625" style="339" hidden="1" customWidth="1"/>
    <col min="7175" max="7175" width="7.81640625" style="339" hidden="1" customWidth="1"/>
    <col min="7176" max="7176" width="7.1796875" style="339" hidden="1" customWidth="1"/>
    <col min="7177" max="7177" width="5.81640625" style="339" hidden="1" customWidth="1"/>
    <col min="7178" max="7178" width="4.54296875" style="339" hidden="1" customWidth="1"/>
    <col min="7179" max="7179" width="7.1796875" style="339" hidden="1" customWidth="1"/>
    <col min="7180" max="7181" width="7.81640625" style="339" hidden="1" customWidth="1"/>
    <col min="7182" max="7182" width="5" style="339" hidden="1" customWidth="1"/>
    <col min="7183" max="7183" width="5.54296875" style="339" hidden="1" customWidth="1"/>
    <col min="7184" max="7184" width="4.1796875" style="339" hidden="1" customWidth="1"/>
    <col min="7185" max="7424" width="9.1796875" style="339" hidden="1"/>
    <col min="7425" max="7425" width="3.81640625" style="339" hidden="1" customWidth="1"/>
    <col min="7426" max="7426" width="5.81640625" style="339" hidden="1" customWidth="1"/>
    <col min="7427" max="7427" width="12" style="339" hidden="1" customWidth="1"/>
    <col min="7428" max="7428" width="13" style="339" hidden="1" customWidth="1"/>
    <col min="7429" max="7429" width="12" style="339" hidden="1" customWidth="1"/>
    <col min="7430" max="7430" width="8.81640625" style="339" hidden="1" customWidth="1"/>
    <col min="7431" max="7431" width="7.81640625" style="339" hidden="1" customWidth="1"/>
    <col min="7432" max="7432" width="7.1796875" style="339" hidden="1" customWidth="1"/>
    <col min="7433" max="7433" width="5.81640625" style="339" hidden="1" customWidth="1"/>
    <col min="7434" max="7434" width="4.54296875" style="339" hidden="1" customWidth="1"/>
    <col min="7435" max="7435" width="7.1796875" style="339" hidden="1" customWidth="1"/>
    <col min="7436" max="7437" width="7.81640625" style="339" hidden="1" customWidth="1"/>
    <col min="7438" max="7438" width="5" style="339" hidden="1" customWidth="1"/>
    <col min="7439" max="7439" width="5.54296875" style="339" hidden="1" customWidth="1"/>
    <col min="7440" max="7440" width="4.1796875" style="339" hidden="1" customWidth="1"/>
    <col min="7441" max="7680" width="9.1796875" style="339" hidden="1"/>
    <col min="7681" max="7681" width="3.81640625" style="339" hidden="1" customWidth="1"/>
    <col min="7682" max="7682" width="5.81640625" style="339" hidden="1" customWidth="1"/>
    <col min="7683" max="7683" width="12" style="339" hidden="1" customWidth="1"/>
    <col min="7684" max="7684" width="13" style="339" hidden="1" customWidth="1"/>
    <col min="7685" max="7685" width="12" style="339" hidden="1" customWidth="1"/>
    <col min="7686" max="7686" width="8.81640625" style="339" hidden="1" customWidth="1"/>
    <col min="7687" max="7687" width="7.81640625" style="339" hidden="1" customWidth="1"/>
    <col min="7688" max="7688" width="7.1796875" style="339" hidden="1" customWidth="1"/>
    <col min="7689" max="7689" width="5.81640625" style="339" hidden="1" customWidth="1"/>
    <col min="7690" max="7690" width="4.54296875" style="339" hidden="1" customWidth="1"/>
    <col min="7691" max="7691" width="7.1796875" style="339" hidden="1" customWidth="1"/>
    <col min="7692" max="7693" width="7.81640625" style="339" hidden="1" customWidth="1"/>
    <col min="7694" max="7694" width="5" style="339" hidden="1" customWidth="1"/>
    <col min="7695" max="7695" width="5.54296875" style="339" hidden="1" customWidth="1"/>
    <col min="7696" max="7696" width="4.1796875" style="339" hidden="1" customWidth="1"/>
    <col min="7697" max="7936" width="9.1796875" style="339" hidden="1"/>
    <col min="7937" max="7937" width="3.81640625" style="339" hidden="1" customWidth="1"/>
    <col min="7938" max="7938" width="5.81640625" style="339" hidden="1" customWidth="1"/>
    <col min="7939" max="7939" width="12" style="339" hidden="1" customWidth="1"/>
    <col min="7940" max="7940" width="13" style="339" hidden="1" customWidth="1"/>
    <col min="7941" max="7941" width="12" style="339" hidden="1" customWidth="1"/>
    <col min="7942" max="7942" width="8.81640625" style="339" hidden="1" customWidth="1"/>
    <col min="7943" max="7943" width="7.81640625" style="339" hidden="1" customWidth="1"/>
    <col min="7944" max="7944" width="7.1796875" style="339" hidden="1" customWidth="1"/>
    <col min="7945" max="7945" width="5.81640625" style="339" hidden="1" customWidth="1"/>
    <col min="7946" max="7946" width="4.54296875" style="339" hidden="1" customWidth="1"/>
    <col min="7947" max="7947" width="7.1796875" style="339" hidden="1" customWidth="1"/>
    <col min="7948" max="7949" width="7.81640625" style="339" hidden="1" customWidth="1"/>
    <col min="7950" max="7950" width="5" style="339" hidden="1" customWidth="1"/>
    <col min="7951" max="7951" width="5.54296875" style="339" hidden="1" customWidth="1"/>
    <col min="7952" max="7952" width="4.1796875" style="339" hidden="1" customWidth="1"/>
    <col min="7953" max="8192" width="9.1796875" style="339" hidden="1"/>
    <col min="8193" max="8193" width="3.81640625" style="339" hidden="1" customWidth="1"/>
    <col min="8194" max="8194" width="5.81640625" style="339" hidden="1" customWidth="1"/>
    <col min="8195" max="8195" width="12" style="339" hidden="1" customWidth="1"/>
    <col min="8196" max="8196" width="13" style="339" hidden="1" customWidth="1"/>
    <col min="8197" max="8197" width="12" style="339" hidden="1" customWidth="1"/>
    <col min="8198" max="8198" width="8.81640625" style="339" hidden="1" customWidth="1"/>
    <col min="8199" max="8199" width="7.81640625" style="339" hidden="1" customWidth="1"/>
    <col min="8200" max="8200" width="7.1796875" style="339" hidden="1" customWidth="1"/>
    <col min="8201" max="8201" width="5.81640625" style="339" hidden="1" customWidth="1"/>
    <col min="8202" max="8202" width="4.54296875" style="339" hidden="1" customWidth="1"/>
    <col min="8203" max="8203" width="7.1796875" style="339" hidden="1" customWidth="1"/>
    <col min="8204" max="8205" width="7.81640625" style="339" hidden="1" customWidth="1"/>
    <col min="8206" max="8206" width="5" style="339" hidden="1" customWidth="1"/>
    <col min="8207" max="8207" width="5.54296875" style="339" hidden="1" customWidth="1"/>
    <col min="8208" max="8208" width="4.1796875" style="339" hidden="1" customWidth="1"/>
    <col min="8209" max="8448" width="9.1796875" style="339" hidden="1"/>
    <col min="8449" max="8449" width="3.81640625" style="339" hidden="1" customWidth="1"/>
    <col min="8450" max="8450" width="5.81640625" style="339" hidden="1" customWidth="1"/>
    <col min="8451" max="8451" width="12" style="339" hidden="1" customWidth="1"/>
    <col min="8452" max="8452" width="13" style="339" hidden="1" customWidth="1"/>
    <col min="8453" max="8453" width="12" style="339" hidden="1" customWidth="1"/>
    <col min="8454" max="8454" width="8.81640625" style="339" hidden="1" customWidth="1"/>
    <col min="8455" max="8455" width="7.81640625" style="339" hidden="1" customWidth="1"/>
    <col min="8456" max="8456" width="7.1796875" style="339" hidden="1" customWidth="1"/>
    <col min="8457" max="8457" width="5.81640625" style="339" hidden="1" customWidth="1"/>
    <col min="8458" max="8458" width="4.54296875" style="339" hidden="1" customWidth="1"/>
    <col min="8459" max="8459" width="7.1796875" style="339" hidden="1" customWidth="1"/>
    <col min="8460" max="8461" width="7.81640625" style="339" hidden="1" customWidth="1"/>
    <col min="8462" max="8462" width="5" style="339" hidden="1" customWidth="1"/>
    <col min="8463" max="8463" width="5.54296875" style="339" hidden="1" customWidth="1"/>
    <col min="8464" max="8464" width="4.1796875" style="339" hidden="1" customWidth="1"/>
    <col min="8465" max="8704" width="9.1796875" style="339" hidden="1"/>
    <col min="8705" max="8705" width="3.81640625" style="339" hidden="1" customWidth="1"/>
    <col min="8706" max="8706" width="5.81640625" style="339" hidden="1" customWidth="1"/>
    <col min="8707" max="8707" width="12" style="339" hidden="1" customWidth="1"/>
    <col min="8708" max="8708" width="13" style="339" hidden="1" customWidth="1"/>
    <col min="8709" max="8709" width="12" style="339" hidden="1" customWidth="1"/>
    <col min="8710" max="8710" width="8.81640625" style="339" hidden="1" customWidth="1"/>
    <col min="8711" max="8711" width="7.81640625" style="339" hidden="1" customWidth="1"/>
    <col min="8712" max="8712" width="7.1796875" style="339" hidden="1" customWidth="1"/>
    <col min="8713" max="8713" width="5.81640625" style="339" hidden="1" customWidth="1"/>
    <col min="8714" max="8714" width="4.54296875" style="339" hidden="1" customWidth="1"/>
    <col min="8715" max="8715" width="7.1796875" style="339" hidden="1" customWidth="1"/>
    <col min="8716" max="8717" width="7.81640625" style="339" hidden="1" customWidth="1"/>
    <col min="8718" max="8718" width="5" style="339" hidden="1" customWidth="1"/>
    <col min="8719" max="8719" width="5.54296875" style="339" hidden="1" customWidth="1"/>
    <col min="8720" max="8720" width="4.1796875" style="339" hidden="1" customWidth="1"/>
    <col min="8721" max="8960" width="9.1796875" style="339" hidden="1"/>
    <col min="8961" max="8961" width="3.81640625" style="339" hidden="1" customWidth="1"/>
    <col min="8962" max="8962" width="5.81640625" style="339" hidden="1" customWidth="1"/>
    <col min="8963" max="8963" width="12" style="339" hidden="1" customWidth="1"/>
    <col min="8964" max="8964" width="13" style="339" hidden="1" customWidth="1"/>
    <col min="8965" max="8965" width="12" style="339" hidden="1" customWidth="1"/>
    <col min="8966" max="8966" width="8.81640625" style="339" hidden="1" customWidth="1"/>
    <col min="8967" max="8967" width="7.81640625" style="339" hidden="1" customWidth="1"/>
    <col min="8968" max="8968" width="7.1796875" style="339" hidden="1" customWidth="1"/>
    <col min="8969" max="8969" width="5.81640625" style="339" hidden="1" customWidth="1"/>
    <col min="8970" max="8970" width="4.54296875" style="339" hidden="1" customWidth="1"/>
    <col min="8971" max="8971" width="7.1796875" style="339" hidden="1" customWidth="1"/>
    <col min="8972" max="8973" width="7.81640625" style="339" hidden="1" customWidth="1"/>
    <col min="8974" max="8974" width="5" style="339" hidden="1" customWidth="1"/>
    <col min="8975" max="8975" width="5.54296875" style="339" hidden="1" customWidth="1"/>
    <col min="8976" max="8976" width="4.1796875" style="339" hidden="1" customWidth="1"/>
    <col min="8977" max="9216" width="9.1796875" style="339" hidden="1"/>
    <col min="9217" max="9217" width="3.81640625" style="339" hidden="1" customWidth="1"/>
    <col min="9218" max="9218" width="5.81640625" style="339" hidden="1" customWidth="1"/>
    <col min="9219" max="9219" width="12" style="339" hidden="1" customWidth="1"/>
    <col min="9220" max="9220" width="13" style="339" hidden="1" customWidth="1"/>
    <col min="9221" max="9221" width="12" style="339" hidden="1" customWidth="1"/>
    <col min="9222" max="9222" width="8.81640625" style="339" hidden="1" customWidth="1"/>
    <col min="9223" max="9223" width="7.81640625" style="339" hidden="1" customWidth="1"/>
    <col min="9224" max="9224" width="7.1796875" style="339" hidden="1" customWidth="1"/>
    <col min="9225" max="9225" width="5.81640625" style="339" hidden="1" customWidth="1"/>
    <col min="9226" max="9226" width="4.54296875" style="339" hidden="1" customWidth="1"/>
    <col min="9227" max="9227" width="7.1796875" style="339" hidden="1" customWidth="1"/>
    <col min="9228" max="9229" width="7.81640625" style="339" hidden="1" customWidth="1"/>
    <col min="9230" max="9230" width="5" style="339" hidden="1" customWidth="1"/>
    <col min="9231" max="9231" width="5.54296875" style="339" hidden="1" customWidth="1"/>
    <col min="9232" max="9232" width="4.1796875" style="339" hidden="1" customWidth="1"/>
    <col min="9233" max="9472" width="9.1796875" style="339" hidden="1"/>
    <col min="9473" max="9473" width="3.81640625" style="339" hidden="1" customWidth="1"/>
    <col min="9474" max="9474" width="5.81640625" style="339" hidden="1" customWidth="1"/>
    <col min="9475" max="9475" width="12" style="339" hidden="1" customWidth="1"/>
    <col min="9476" max="9476" width="13" style="339" hidden="1" customWidth="1"/>
    <col min="9477" max="9477" width="12" style="339" hidden="1" customWidth="1"/>
    <col min="9478" max="9478" width="8.81640625" style="339" hidden="1" customWidth="1"/>
    <col min="9479" max="9479" width="7.81640625" style="339" hidden="1" customWidth="1"/>
    <col min="9480" max="9480" width="7.1796875" style="339" hidden="1" customWidth="1"/>
    <col min="9481" max="9481" width="5.81640625" style="339" hidden="1" customWidth="1"/>
    <col min="9482" max="9482" width="4.54296875" style="339" hidden="1" customWidth="1"/>
    <col min="9483" max="9483" width="7.1796875" style="339" hidden="1" customWidth="1"/>
    <col min="9484" max="9485" width="7.81640625" style="339" hidden="1" customWidth="1"/>
    <col min="9486" max="9486" width="5" style="339" hidden="1" customWidth="1"/>
    <col min="9487" max="9487" width="5.54296875" style="339" hidden="1" customWidth="1"/>
    <col min="9488" max="9488" width="4.1796875" style="339" hidden="1" customWidth="1"/>
    <col min="9489" max="9728" width="9.1796875" style="339" hidden="1"/>
    <col min="9729" max="9729" width="3.81640625" style="339" hidden="1" customWidth="1"/>
    <col min="9730" max="9730" width="5.81640625" style="339" hidden="1" customWidth="1"/>
    <col min="9731" max="9731" width="12" style="339" hidden="1" customWidth="1"/>
    <col min="9732" max="9732" width="13" style="339" hidden="1" customWidth="1"/>
    <col min="9733" max="9733" width="12" style="339" hidden="1" customWidth="1"/>
    <col min="9734" max="9734" width="8.81640625" style="339" hidden="1" customWidth="1"/>
    <col min="9735" max="9735" width="7.81640625" style="339" hidden="1" customWidth="1"/>
    <col min="9736" max="9736" width="7.1796875" style="339" hidden="1" customWidth="1"/>
    <col min="9737" max="9737" width="5.81640625" style="339" hidden="1" customWidth="1"/>
    <col min="9738" max="9738" width="4.54296875" style="339" hidden="1" customWidth="1"/>
    <col min="9739" max="9739" width="7.1796875" style="339" hidden="1" customWidth="1"/>
    <col min="9740" max="9741" width="7.81640625" style="339" hidden="1" customWidth="1"/>
    <col min="9742" max="9742" width="5" style="339" hidden="1" customWidth="1"/>
    <col min="9743" max="9743" width="5.54296875" style="339" hidden="1" customWidth="1"/>
    <col min="9744" max="9744" width="4.1796875" style="339" hidden="1" customWidth="1"/>
    <col min="9745" max="9984" width="9.1796875" style="339" hidden="1"/>
    <col min="9985" max="9985" width="3.81640625" style="339" hidden="1" customWidth="1"/>
    <col min="9986" max="9986" width="5.81640625" style="339" hidden="1" customWidth="1"/>
    <col min="9987" max="9987" width="12" style="339" hidden="1" customWidth="1"/>
    <col min="9988" max="9988" width="13" style="339" hidden="1" customWidth="1"/>
    <col min="9989" max="9989" width="12" style="339" hidden="1" customWidth="1"/>
    <col min="9990" max="9990" width="8.81640625" style="339" hidden="1" customWidth="1"/>
    <col min="9991" max="9991" width="7.81640625" style="339" hidden="1" customWidth="1"/>
    <col min="9992" max="9992" width="7.1796875" style="339" hidden="1" customWidth="1"/>
    <col min="9993" max="9993" width="5.81640625" style="339" hidden="1" customWidth="1"/>
    <col min="9994" max="9994" width="4.54296875" style="339" hidden="1" customWidth="1"/>
    <col min="9995" max="9995" width="7.1796875" style="339" hidden="1" customWidth="1"/>
    <col min="9996" max="9997" width="7.81640625" style="339" hidden="1" customWidth="1"/>
    <col min="9998" max="9998" width="5" style="339" hidden="1" customWidth="1"/>
    <col min="9999" max="9999" width="5.54296875" style="339" hidden="1" customWidth="1"/>
    <col min="10000" max="10000" width="4.1796875" style="339" hidden="1" customWidth="1"/>
    <col min="10001" max="10240" width="9.1796875" style="339" hidden="1"/>
    <col min="10241" max="10241" width="3.81640625" style="339" hidden="1" customWidth="1"/>
    <col min="10242" max="10242" width="5.81640625" style="339" hidden="1" customWidth="1"/>
    <col min="10243" max="10243" width="12" style="339" hidden="1" customWidth="1"/>
    <col min="10244" max="10244" width="13" style="339" hidden="1" customWidth="1"/>
    <col min="10245" max="10245" width="12" style="339" hidden="1" customWidth="1"/>
    <col min="10246" max="10246" width="8.81640625" style="339" hidden="1" customWidth="1"/>
    <col min="10247" max="10247" width="7.81640625" style="339" hidden="1" customWidth="1"/>
    <col min="10248" max="10248" width="7.1796875" style="339" hidden="1" customWidth="1"/>
    <col min="10249" max="10249" width="5.81640625" style="339" hidden="1" customWidth="1"/>
    <col min="10250" max="10250" width="4.54296875" style="339" hidden="1" customWidth="1"/>
    <col min="10251" max="10251" width="7.1796875" style="339" hidden="1" customWidth="1"/>
    <col min="10252" max="10253" width="7.81640625" style="339" hidden="1" customWidth="1"/>
    <col min="10254" max="10254" width="5" style="339" hidden="1" customWidth="1"/>
    <col min="10255" max="10255" width="5.54296875" style="339" hidden="1" customWidth="1"/>
    <col min="10256" max="10256" width="4.1796875" style="339" hidden="1" customWidth="1"/>
    <col min="10257" max="10496" width="9.1796875" style="339" hidden="1"/>
    <col min="10497" max="10497" width="3.81640625" style="339" hidden="1" customWidth="1"/>
    <col min="10498" max="10498" width="5.81640625" style="339" hidden="1" customWidth="1"/>
    <col min="10499" max="10499" width="12" style="339" hidden="1" customWidth="1"/>
    <col min="10500" max="10500" width="13" style="339" hidden="1" customWidth="1"/>
    <col min="10501" max="10501" width="12" style="339" hidden="1" customWidth="1"/>
    <col min="10502" max="10502" width="8.81640625" style="339" hidden="1" customWidth="1"/>
    <col min="10503" max="10503" width="7.81640625" style="339" hidden="1" customWidth="1"/>
    <col min="10504" max="10504" width="7.1796875" style="339" hidden="1" customWidth="1"/>
    <col min="10505" max="10505" width="5.81640625" style="339" hidden="1" customWidth="1"/>
    <col min="10506" max="10506" width="4.54296875" style="339" hidden="1" customWidth="1"/>
    <col min="10507" max="10507" width="7.1796875" style="339" hidden="1" customWidth="1"/>
    <col min="10508" max="10509" width="7.81640625" style="339" hidden="1" customWidth="1"/>
    <col min="10510" max="10510" width="5" style="339" hidden="1" customWidth="1"/>
    <col min="10511" max="10511" width="5.54296875" style="339" hidden="1" customWidth="1"/>
    <col min="10512" max="10512" width="4.1796875" style="339" hidden="1" customWidth="1"/>
    <col min="10513" max="10752" width="9.1796875" style="339" hidden="1"/>
    <col min="10753" max="10753" width="3.81640625" style="339" hidden="1" customWidth="1"/>
    <col min="10754" max="10754" width="5.81640625" style="339" hidden="1" customWidth="1"/>
    <col min="10755" max="10755" width="12" style="339" hidden="1" customWidth="1"/>
    <col min="10756" max="10756" width="13" style="339" hidden="1" customWidth="1"/>
    <col min="10757" max="10757" width="12" style="339" hidden="1" customWidth="1"/>
    <col min="10758" max="10758" width="8.81640625" style="339" hidden="1" customWidth="1"/>
    <col min="10759" max="10759" width="7.81640625" style="339" hidden="1" customWidth="1"/>
    <col min="10760" max="10760" width="7.1796875" style="339" hidden="1" customWidth="1"/>
    <col min="10761" max="10761" width="5.81640625" style="339" hidden="1" customWidth="1"/>
    <col min="10762" max="10762" width="4.54296875" style="339" hidden="1" customWidth="1"/>
    <col min="10763" max="10763" width="7.1796875" style="339" hidden="1" customWidth="1"/>
    <col min="10764" max="10765" width="7.81640625" style="339" hidden="1" customWidth="1"/>
    <col min="10766" max="10766" width="5" style="339" hidden="1" customWidth="1"/>
    <col min="10767" max="10767" width="5.54296875" style="339" hidden="1" customWidth="1"/>
    <col min="10768" max="10768" width="4.1796875" style="339" hidden="1" customWidth="1"/>
    <col min="10769" max="11008" width="9.1796875" style="339" hidden="1"/>
    <col min="11009" max="11009" width="3.81640625" style="339" hidden="1" customWidth="1"/>
    <col min="11010" max="11010" width="5.81640625" style="339" hidden="1" customWidth="1"/>
    <col min="11011" max="11011" width="12" style="339" hidden="1" customWidth="1"/>
    <col min="11012" max="11012" width="13" style="339" hidden="1" customWidth="1"/>
    <col min="11013" max="11013" width="12" style="339" hidden="1" customWidth="1"/>
    <col min="11014" max="11014" width="8.81640625" style="339" hidden="1" customWidth="1"/>
    <col min="11015" max="11015" width="7.81640625" style="339" hidden="1" customWidth="1"/>
    <col min="11016" max="11016" width="7.1796875" style="339" hidden="1" customWidth="1"/>
    <col min="11017" max="11017" width="5.81640625" style="339" hidden="1" customWidth="1"/>
    <col min="11018" max="11018" width="4.54296875" style="339" hidden="1" customWidth="1"/>
    <col min="11019" max="11019" width="7.1796875" style="339" hidden="1" customWidth="1"/>
    <col min="11020" max="11021" width="7.81640625" style="339" hidden="1" customWidth="1"/>
    <col min="11022" max="11022" width="5" style="339" hidden="1" customWidth="1"/>
    <col min="11023" max="11023" width="5.54296875" style="339" hidden="1" customWidth="1"/>
    <col min="11024" max="11024" width="4.1796875" style="339" hidden="1" customWidth="1"/>
    <col min="11025" max="11264" width="9.1796875" style="339" hidden="1"/>
    <col min="11265" max="11265" width="3.81640625" style="339" hidden="1" customWidth="1"/>
    <col min="11266" max="11266" width="5.81640625" style="339" hidden="1" customWidth="1"/>
    <col min="11267" max="11267" width="12" style="339" hidden="1" customWidth="1"/>
    <col min="11268" max="11268" width="13" style="339" hidden="1" customWidth="1"/>
    <col min="11269" max="11269" width="12" style="339" hidden="1" customWidth="1"/>
    <col min="11270" max="11270" width="8.81640625" style="339" hidden="1" customWidth="1"/>
    <col min="11271" max="11271" width="7.81640625" style="339" hidden="1" customWidth="1"/>
    <col min="11272" max="11272" width="7.1796875" style="339" hidden="1" customWidth="1"/>
    <col min="11273" max="11273" width="5.81640625" style="339" hidden="1" customWidth="1"/>
    <col min="11274" max="11274" width="4.54296875" style="339" hidden="1" customWidth="1"/>
    <col min="11275" max="11275" width="7.1796875" style="339" hidden="1" customWidth="1"/>
    <col min="11276" max="11277" width="7.81640625" style="339" hidden="1" customWidth="1"/>
    <col min="11278" max="11278" width="5" style="339" hidden="1" customWidth="1"/>
    <col min="11279" max="11279" width="5.54296875" style="339" hidden="1" customWidth="1"/>
    <col min="11280" max="11280" width="4.1796875" style="339" hidden="1" customWidth="1"/>
    <col min="11281" max="11520" width="9.1796875" style="339" hidden="1"/>
    <col min="11521" max="11521" width="3.81640625" style="339" hidden="1" customWidth="1"/>
    <col min="11522" max="11522" width="5.81640625" style="339" hidden="1" customWidth="1"/>
    <col min="11523" max="11523" width="12" style="339" hidden="1" customWidth="1"/>
    <col min="11524" max="11524" width="13" style="339" hidden="1" customWidth="1"/>
    <col min="11525" max="11525" width="12" style="339" hidden="1" customWidth="1"/>
    <col min="11526" max="11526" width="8.81640625" style="339" hidden="1" customWidth="1"/>
    <col min="11527" max="11527" width="7.81640625" style="339" hidden="1" customWidth="1"/>
    <col min="11528" max="11528" width="7.1796875" style="339" hidden="1" customWidth="1"/>
    <col min="11529" max="11529" width="5.81640625" style="339" hidden="1" customWidth="1"/>
    <col min="11530" max="11530" width="4.54296875" style="339" hidden="1" customWidth="1"/>
    <col min="11531" max="11531" width="7.1796875" style="339" hidden="1" customWidth="1"/>
    <col min="11532" max="11533" width="7.81640625" style="339" hidden="1" customWidth="1"/>
    <col min="11534" max="11534" width="5" style="339" hidden="1" customWidth="1"/>
    <col min="11535" max="11535" width="5.54296875" style="339" hidden="1" customWidth="1"/>
    <col min="11536" max="11536" width="4.1796875" style="339" hidden="1" customWidth="1"/>
    <col min="11537" max="11776" width="9.1796875" style="339" hidden="1"/>
    <col min="11777" max="11777" width="3.81640625" style="339" hidden="1" customWidth="1"/>
    <col min="11778" max="11778" width="5.81640625" style="339" hidden="1" customWidth="1"/>
    <col min="11779" max="11779" width="12" style="339" hidden="1" customWidth="1"/>
    <col min="11780" max="11780" width="13" style="339" hidden="1" customWidth="1"/>
    <col min="11781" max="11781" width="12" style="339" hidden="1" customWidth="1"/>
    <col min="11782" max="11782" width="8.81640625" style="339" hidden="1" customWidth="1"/>
    <col min="11783" max="11783" width="7.81640625" style="339" hidden="1" customWidth="1"/>
    <col min="11784" max="11784" width="7.1796875" style="339" hidden="1" customWidth="1"/>
    <col min="11785" max="11785" width="5.81640625" style="339" hidden="1" customWidth="1"/>
    <col min="11786" max="11786" width="4.54296875" style="339" hidden="1" customWidth="1"/>
    <col min="11787" max="11787" width="7.1796875" style="339" hidden="1" customWidth="1"/>
    <col min="11788" max="11789" width="7.81640625" style="339" hidden="1" customWidth="1"/>
    <col min="11790" max="11790" width="5" style="339" hidden="1" customWidth="1"/>
    <col min="11791" max="11791" width="5.54296875" style="339" hidden="1" customWidth="1"/>
    <col min="11792" max="11792" width="4.1796875" style="339" hidden="1" customWidth="1"/>
    <col min="11793" max="12032" width="9.1796875" style="339" hidden="1"/>
    <col min="12033" max="12033" width="3.81640625" style="339" hidden="1" customWidth="1"/>
    <col min="12034" max="12034" width="5.81640625" style="339" hidden="1" customWidth="1"/>
    <col min="12035" max="12035" width="12" style="339" hidden="1" customWidth="1"/>
    <col min="12036" max="12036" width="13" style="339" hidden="1" customWidth="1"/>
    <col min="12037" max="12037" width="12" style="339" hidden="1" customWidth="1"/>
    <col min="12038" max="12038" width="8.81640625" style="339" hidden="1" customWidth="1"/>
    <col min="12039" max="12039" width="7.81640625" style="339" hidden="1" customWidth="1"/>
    <col min="12040" max="12040" width="7.1796875" style="339" hidden="1" customWidth="1"/>
    <col min="12041" max="12041" width="5.81640625" style="339" hidden="1" customWidth="1"/>
    <col min="12042" max="12042" width="4.54296875" style="339" hidden="1" customWidth="1"/>
    <col min="12043" max="12043" width="7.1796875" style="339" hidden="1" customWidth="1"/>
    <col min="12044" max="12045" width="7.81640625" style="339" hidden="1" customWidth="1"/>
    <col min="12046" max="12046" width="5" style="339" hidden="1" customWidth="1"/>
    <col min="12047" max="12047" width="5.54296875" style="339" hidden="1" customWidth="1"/>
    <col min="12048" max="12048" width="4.1796875" style="339" hidden="1" customWidth="1"/>
    <col min="12049" max="12288" width="9.1796875" style="339" hidden="1"/>
    <col min="12289" max="12289" width="3.81640625" style="339" hidden="1" customWidth="1"/>
    <col min="12290" max="12290" width="5.81640625" style="339" hidden="1" customWidth="1"/>
    <col min="12291" max="12291" width="12" style="339" hidden="1" customWidth="1"/>
    <col min="12292" max="12292" width="13" style="339" hidden="1" customWidth="1"/>
    <col min="12293" max="12293" width="12" style="339" hidden="1" customWidth="1"/>
    <col min="12294" max="12294" width="8.81640625" style="339" hidden="1" customWidth="1"/>
    <col min="12295" max="12295" width="7.81640625" style="339" hidden="1" customWidth="1"/>
    <col min="12296" max="12296" width="7.1796875" style="339" hidden="1" customWidth="1"/>
    <col min="12297" max="12297" width="5.81640625" style="339" hidden="1" customWidth="1"/>
    <col min="12298" max="12298" width="4.54296875" style="339" hidden="1" customWidth="1"/>
    <col min="12299" max="12299" width="7.1796875" style="339" hidden="1" customWidth="1"/>
    <col min="12300" max="12301" width="7.81640625" style="339" hidden="1" customWidth="1"/>
    <col min="12302" max="12302" width="5" style="339" hidden="1" customWidth="1"/>
    <col min="12303" max="12303" width="5.54296875" style="339" hidden="1" customWidth="1"/>
    <col min="12304" max="12304" width="4.1796875" style="339" hidden="1" customWidth="1"/>
    <col min="12305" max="12544" width="9.1796875" style="339" hidden="1"/>
    <col min="12545" max="12545" width="3.81640625" style="339" hidden="1" customWidth="1"/>
    <col min="12546" max="12546" width="5.81640625" style="339" hidden="1" customWidth="1"/>
    <col min="12547" max="12547" width="12" style="339" hidden="1" customWidth="1"/>
    <col min="12548" max="12548" width="13" style="339" hidden="1" customWidth="1"/>
    <col min="12549" max="12549" width="12" style="339" hidden="1" customWidth="1"/>
    <col min="12550" max="12550" width="8.81640625" style="339" hidden="1" customWidth="1"/>
    <col min="12551" max="12551" width="7.81640625" style="339" hidden="1" customWidth="1"/>
    <col min="12552" max="12552" width="7.1796875" style="339" hidden="1" customWidth="1"/>
    <col min="12553" max="12553" width="5.81640625" style="339" hidden="1" customWidth="1"/>
    <col min="12554" max="12554" width="4.54296875" style="339" hidden="1" customWidth="1"/>
    <col min="12555" max="12555" width="7.1796875" style="339" hidden="1" customWidth="1"/>
    <col min="12556" max="12557" width="7.81640625" style="339" hidden="1" customWidth="1"/>
    <col min="12558" max="12558" width="5" style="339" hidden="1" customWidth="1"/>
    <col min="12559" max="12559" width="5.54296875" style="339" hidden="1" customWidth="1"/>
    <col min="12560" max="12560" width="4.1796875" style="339" hidden="1" customWidth="1"/>
    <col min="12561" max="12800" width="9.1796875" style="339" hidden="1"/>
    <col min="12801" max="12801" width="3.81640625" style="339" hidden="1" customWidth="1"/>
    <col min="12802" max="12802" width="5.81640625" style="339" hidden="1" customWidth="1"/>
    <col min="12803" max="12803" width="12" style="339" hidden="1" customWidth="1"/>
    <col min="12804" max="12804" width="13" style="339" hidden="1" customWidth="1"/>
    <col min="12805" max="12805" width="12" style="339" hidden="1" customWidth="1"/>
    <col min="12806" max="12806" width="8.81640625" style="339" hidden="1" customWidth="1"/>
    <col min="12807" max="12807" width="7.81640625" style="339" hidden="1" customWidth="1"/>
    <col min="12808" max="12808" width="7.1796875" style="339" hidden="1" customWidth="1"/>
    <col min="12809" max="12809" width="5.81640625" style="339" hidden="1" customWidth="1"/>
    <col min="12810" max="12810" width="4.54296875" style="339" hidden="1" customWidth="1"/>
    <col min="12811" max="12811" width="7.1796875" style="339" hidden="1" customWidth="1"/>
    <col min="12812" max="12813" width="7.81640625" style="339" hidden="1" customWidth="1"/>
    <col min="12814" max="12814" width="5" style="339" hidden="1" customWidth="1"/>
    <col min="12815" max="12815" width="5.54296875" style="339" hidden="1" customWidth="1"/>
    <col min="12816" max="12816" width="4.1796875" style="339" hidden="1" customWidth="1"/>
    <col min="12817" max="13056" width="9.1796875" style="339" hidden="1"/>
    <col min="13057" max="13057" width="3.81640625" style="339" hidden="1" customWidth="1"/>
    <col min="13058" max="13058" width="5.81640625" style="339" hidden="1" customWidth="1"/>
    <col min="13059" max="13059" width="12" style="339" hidden="1" customWidth="1"/>
    <col min="13060" max="13060" width="13" style="339" hidden="1" customWidth="1"/>
    <col min="13061" max="13061" width="12" style="339" hidden="1" customWidth="1"/>
    <col min="13062" max="13062" width="8.81640625" style="339" hidden="1" customWidth="1"/>
    <col min="13063" max="13063" width="7.81640625" style="339" hidden="1" customWidth="1"/>
    <col min="13064" max="13064" width="7.1796875" style="339" hidden="1" customWidth="1"/>
    <col min="13065" max="13065" width="5.81640625" style="339" hidden="1" customWidth="1"/>
    <col min="13066" max="13066" width="4.54296875" style="339" hidden="1" customWidth="1"/>
    <col min="13067" max="13067" width="7.1796875" style="339" hidden="1" customWidth="1"/>
    <col min="13068" max="13069" width="7.81640625" style="339" hidden="1" customWidth="1"/>
    <col min="13070" max="13070" width="5" style="339" hidden="1" customWidth="1"/>
    <col min="13071" max="13071" width="5.54296875" style="339" hidden="1" customWidth="1"/>
    <col min="13072" max="13072" width="4.1796875" style="339" hidden="1" customWidth="1"/>
    <col min="13073" max="13312" width="9.1796875" style="339" hidden="1"/>
    <col min="13313" max="13313" width="3.81640625" style="339" hidden="1" customWidth="1"/>
    <col min="13314" max="13314" width="5.81640625" style="339" hidden="1" customWidth="1"/>
    <col min="13315" max="13315" width="12" style="339" hidden="1" customWidth="1"/>
    <col min="13316" max="13316" width="13" style="339" hidden="1" customWidth="1"/>
    <col min="13317" max="13317" width="12" style="339" hidden="1" customWidth="1"/>
    <col min="13318" max="13318" width="8.81640625" style="339" hidden="1" customWidth="1"/>
    <col min="13319" max="13319" width="7.81640625" style="339" hidden="1" customWidth="1"/>
    <col min="13320" max="13320" width="7.1796875" style="339" hidden="1" customWidth="1"/>
    <col min="13321" max="13321" width="5.81640625" style="339" hidden="1" customWidth="1"/>
    <col min="13322" max="13322" width="4.54296875" style="339" hidden="1" customWidth="1"/>
    <col min="13323" max="13323" width="7.1796875" style="339" hidden="1" customWidth="1"/>
    <col min="13324" max="13325" width="7.81640625" style="339" hidden="1" customWidth="1"/>
    <col min="13326" max="13326" width="5" style="339" hidden="1" customWidth="1"/>
    <col min="13327" max="13327" width="5.54296875" style="339" hidden="1" customWidth="1"/>
    <col min="13328" max="13328" width="4.1796875" style="339" hidden="1" customWidth="1"/>
    <col min="13329" max="13568" width="9.1796875" style="339" hidden="1"/>
    <col min="13569" max="13569" width="3.81640625" style="339" hidden="1" customWidth="1"/>
    <col min="13570" max="13570" width="5.81640625" style="339" hidden="1" customWidth="1"/>
    <col min="13571" max="13571" width="12" style="339" hidden="1" customWidth="1"/>
    <col min="13572" max="13572" width="13" style="339" hidden="1" customWidth="1"/>
    <col min="13573" max="13573" width="12" style="339" hidden="1" customWidth="1"/>
    <col min="13574" max="13574" width="8.81640625" style="339" hidden="1" customWidth="1"/>
    <col min="13575" max="13575" width="7.81640625" style="339" hidden="1" customWidth="1"/>
    <col min="13576" max="13576" width="7.1796875" style="339" hidden="1" customWidth="1"/>
    <col min="13577" max="13577" width="5.81640625" style="339" hidden="1" customWidth="1"/>
    <col min="13578" max="13578" width="4.54296875" style="339" hidden="1" customWidth="1"/>
    <col min="13579" max="13579" width="7.1796875" style="339" hidden="1" customWidth="1"/>
    <col min="13580" max="13581" width="7.81640625" style="339" hidden="1" customWidth="1"/>
    <col min="13582" max="13582" width="5" style="339" hidden="1" customWidth="1"/>
    <col min="13583" max="13583" width="5.54296875" style="339" hidden="1" customWidth="1"/>
    <col min="13584" max="13584" width="4.1796875" style="339" hidden="1" customWidth="1"/>
    <col min="13585" max="13824" width="9.1796875" style="339" hidden="1"/>
    <col min="13825" max="13825" width="3.81640625" style="339" hidden="1" customWidth="1"/>
    <col min="13826" max="13826" width="5.81640625" style="339" hidden="1" customWidth="1"/>
    <col min="13827" max="13827" width="12" style="339" hidden="1" customWidth="1"/>
    <col min="13828" max="13828" width="13" style="339" hidden="1" customWidth="1"/>
    <col min="13829" max="13829" width="12" style="339" hidden="1" customWidth="1"/>
    <col min="13830" max="13830" width="8.81640625" style="339" hidden="1" customWidth="1"/>
    <col min="13831" max="13831" width="7.81640625" style="339" hidden="1" customWidth="1"/>
    <col min="13832" max="13832" width="7.1796875" style="339" hidden="1" customWidth="1"/>
    <col min="13833" max="13833" width="5.81640625" style="339" hidden="1" customWidth="1"/>
    <col min="13834" max="13834" width="4.54296875" style="339" hidden="1" customWidth="1"/>
    <col min="13835" max="13835" width="7.1796875" style="339" hidden="1" customWidth="1"/>
    <col min="13836" max="13837" width="7.81640625" style="339" hidden="1" customWidth="1"/>
    <col min="13838" max="13838" width="5" style="339" hidden="1" customWidth="1"/>
    <col min="13839" max="13839" width="5.54296875" style="339" hidden="1" customWidth="1"/>
    <col min="13840" max="13840" width="4.1796875" style="339" hidden="1" customWidth="1"/>
    <col min="13841" max="14080" width="9.1796875" style="339" hidden="1"/>
    <col min="14081" max="14081" width="3.81640625" style="339" hidden="1" customWidth="1"/>
    <col min="14082" max="14082" width="5.81640625" style="339" hidden="1" customWidth="1"/>
    <col min="14083" max="14083" width="12" style="339" hidden="1" customWidth="1"/>
    <col min="14084" max="14084" width="13" style="339" hidden="1" customWidth="1"/>
    <col min="14085" max="14085" width="12" style="339" hidden="1" customWidth="1"/>
    <col min="14086" max="14086" width="8.81640625" style="339" hidden="1" customWidth="1"/>
    <col min="14087" max="14087" width="7.81640625" style="339" hidden="1" customWidth="1"/>
    <col min="14088" max="14088" width="7.1796875" style="339" hidden="1" customWidth="1"/>
    <col min="14089" max="14089" width="5.81640625" style="339" hidden="1" customWidth="1"/>
    <col min="14090" max="14090" width="4.54296875" style="339" hidden="1" customWidth="1"/>
    <col min="14091" max="14091" width="7.1796875" style="339" hidden="1" customWidth="1"/>
    <col min="14092" max="14093" width="7.81640625" style="339" hidden="1" customWidth="1"/>
    <col min="14094" max="14094" width="5" style="339" hidden="1" customWidth="1"/>
    <col min="14095" max="14095" width="5.54296875" style="339" hidden="1" customWidth="1"/>
    <col min="14096" max="14096" width="4.1796875" style="339" hidden="1" customWidth="1"/>
    <col min="14097" max="14336" width="9.1796875" style="339" hidden="1"/>
    <col min="14337" max="14337" width="3.81640625" style="339" hidden="1" customWidth="1"/>
    <col min="14338" max="14338" width="5.81640625" style="339" hidden="1" customWidth="1"/>
    <col min="14339" max="14339" width="12" style="339" hidden="1" customWidth="1"/>
    <col min="14340" max="14340" width="13" style="339" hidden="1" customWidth="1"/>
    <col min="14341" max="14341" width="12" style="339" hidden="1" customWidth="1"/>
    <col min="14342" max="14342" width="8.81640625" style="339" hidden="1" customWidth="1"/>
    <col min="14343" max="14343" width="7.81640625" style="339" hidden="1" customWidth="1"/>
    <col min="14344" max="14344" width="7.1796875" style="339" hidden="1" customWidth="1"/>
    <col min="14345" max="14345" width="5.81640625" style="339" hidden="1" customWidth="1"/>
    <col min="14346" max="14346" width="4.54296875" style="339" hidden="1" customWidth="1"/>
    <col min="14347" max="14347" width="7.1796875" style="339" hidden="1" customWidth="1"/>
    <col min="14348" max="14349" width="7.81640625" style="339" hidden="1" customWidth="1"/>
    <col min="14350" max="14350" width="5" style="339" hidden="1" customWidth="1"/>
    <col min="14351" max="14351" width="5.54296875" style="339" hidden="1" customWidth="1"/>
    <col min="14352" max="14352" width="4.1796875" style="339" hidden="1" customWidth="1"/>
    <col min="14353" max="14592" width="9.1796875" style="339" hidden="1"/>
    <col min="14593" max="14593" width="3.81640625" style="339" hidden="1" customWidth="1"/>
    <col min="14594" max="14594" width="5.81640625" style="339" hidden="1" customWidth="1"/>
    <col min="14595" max="14595" width="12" style="339" hidden="1" customWidth="1"/>
    <col min="14596" max="14596" width="13" style="339" hidden="1" customWidth="1"/>
    <col min="14597" max="14597" width="12" style="339" hidden="1" customWidth="1"/>
    <col min="14598" max="14598" width="8.81640625" style="339" hidden="1" customWidth="1"/>
    <col min="14599" max="14599" width="7.81640625" style="339" hidden="1" customWidth="1"/>
    <col min="14600" max="14600" width="7.1796875" style="339" hidden="1" customWidth="1"/>
    <col min="14601" max="14601" width="5.81640625" style="339" hidden="1" customWidth="1"/>
    <col min="14602" max="14602" width="4.54296875" style="339" hidden="1" customWidth="1"/>
    <col min="14603" max="14603" width="7.1796875" style="339" hidden="1" customWidth="1"/>
    <col min="14604" max="14605" width="7.81640625" style="339" hidden="1" customWidth="1"/>
    <col min="14606" max="14606" width="5" style="339" hidden="1" customWidth="1"/>
    <col min="14607" max="14607" width="5.54296875" style="339" hidden="1" customWidth="1"/>
    <col min="14608" max="14608" width="4.1796875" style="339" hidden="1" customWidth="1"/>
    <col min="14609" max="14848" width="9.1796875" style="339" hidden="1"/>
    <col min="14849" max="14849" width="3.81640625" style="339" hidden="1" customWidth="1"/>
    <col min="14850" max="14850" width="5.81640625" style="339" hidden="1" customWidth="1"/>
    <col min="14851" max="14851" width="12" style="339" hidden="1" customWidth="1"/>
    <col min="14852" max="14852" width="13" style="339" hidden="1" customWidth="1"/>
    <col min="14853" max="14853" width="12" style="339" hidden="1" customWidth="1"/>
    <col min="14854" max="14854" width="8.81640625" style="339" hidden="1" customWidth="1"/>
    <col min="14855" max="14855" width="7.81640625" style="339" hidden="1" customWidth="1"/>
    <col min="14856" max="14856" width="7.1796875" style="339" hidden="1" customWidth="1"/>
    <col min="14857" max="14857" width="5.81640625" style="339" hidden="1" customWidth="1"/>
    <col min="14858" max="14858" width="4.54296875" style="339" hidden="1" customWidth="1"/>
    <col min="14859" max="14859" width="7.1796875" style="339" hidden="1" customWidth="1"/>
    <col min="14860" max="14861" width="7.81640625" style="339" hidden="1" customWidth="1"/>
    <col min="14862" max="14862" width="5" style="339" hidden="1" customWidth="1"/>
    <col min="14863" max="14863" width="5.54296875" style="339" hidden="1" customWidth="1"/>
    <col min="14864" max="14864" width="4.1796875" style="339" hidden="1" customWidth="1"/>
    <col min="14865" max="15104" width="9.1796875" style="339" hidden="1"/>
    <col min="15105" max="15105" width="3.81640625" style="339" hidden="1" customWidth="1"/>
    <col min="15106" max="15106" width="5.81640625" style="339" hidden="1" customWidth="1"/>
    <col min="15107" max="15107" width="12" style="339" hidden="1" customWidth="1"/>
    <col min="15108" max="15108" width="13" style="339" hidden="1" customWidth="1"/>
    <col min="15109" max="15109" width="12" style="339" hidden="1" customWidth="1"/>
    <col min="15110" max="15110" width="8.81640625" style="339" hidden="1" customWidth="1"/>
    <col min="15111" max="15111" width="7.81640625" style="339" hidden="1" customWidth="1"/>
    <col min="15112" max="15112" width="7.1796875" style="339" hidden="1" customWidth="1"/>
    <col min="15113" max="15113" width="5.81640625" style="339" hidden="1" customWidth="1"/>
    <col min="15114" max="15114" width="4.54296875" style="339" hidden="1" customWidth="1"/>
    <col min="15115" max="15115" width="7.1796875" style="339" hidden="1" customWidth="1"/>
    <col min="15116" max="15117" width="7.81640625" style="339" hidden="1" customWidth="1"/>
    <col min="15118" max="15118" width="5" style="339" hidden="1" customWidth="1"/>
    <col min="15119" max="15119" width="5.54296875" style="339" hidden="1" customWidth="1"/>
    <col min="15120" max="15120" width="4.1796875" style="339" hidden="1" customWidth="1"/>
    <col min="15121" max="15360" width="9.1796875" style="339" hidden="1"/>
    <col min="15361" max="15361" width="3.81640625" style="339" hidden="1" customWidth="1"/>
    <col min="15362" max="15362" width="5.81640625" style="339" hidden="1" customWidth="1"/>
    <col min="15363" max="15363" width="12" style="339" hidden="1" customWidth="1"/>
    <col min="15364" max="15364" width="13" style="339" hidden="1" customWidth="1"/>
    <col min="15365" max="15365" width="12" style="339" hidden="1" customWidth="1"/>
    <col min="15366" max="15366" width="8.81640625" style="339" hidden="1" customWidth="1"/>
    <col min="15367" max="15367" width="7.81640625" style="339" hidden="1" customWidth="1"/>
    <col min="15368" max="15368" width="7.1796875" style="339" hidden="1" customWidth="1"/>
    <col min="15369" max="15369" width="5.81640625" style="339" hidden="1" customWidth="1"/>
    <col min="15370" max="15370" width="4.54296875" style="339" hidden="1" customWidth="1"/>
    <col min="15371" max="15371" width="7.1796875" style="339" hidden="1" customWidth="1"/>
    <col min="15372" max="15373" width="7.81640625" style="339" hidden="1" customWidth="1"/>
    <col min="15374" max="15374" width="5" style="339" hidden="1" customWidth="1"/>
    <col min="15375" max="15375" width="5.54296875" style="339" hidden="1" customWidth="1"/>
    <col min="15376" max="15376" width="4.1796875" style="339" hidden="1" customWidth="1"/>
    <col min="15377" max="15616" width="9.1796875" style="339" hidden="1"/>
    <col min="15617" max="15617" width="3.81640625" style="339" hidden="1" customWidth="1"/>
    <col min="15618" max="15618" width="5.81640625" style="339" hidden="1" customWidth="1"/>
    <col min="15619" max="15619" width="12" style="339" hidden="1" customWidth="1"/>
    <col min="15620" max="15620" width="13" style="339" hidden="1" customWidth="1"/>
    <col min="15621" max="15621" width="12" style="339" hidden="1" customWidth="1"/>
    <col min="15622" max="15622" width="8.81640625" style="339" hidden="1" customWidth="1"/>
    <col min="15623" max="15623" width="7.81640625" style="339" hidden="1" customWidth="1"/>
    <col min="15624" max="15624" width="7.1796875" style="339" hidden="1" customWidth="1"/>
    <col min="15625" max="15625" width="5.81640625" style="339" hidden="1" customWidth="1"/>
    <col min="15626" max="15626" width="4.54296875" style="339" hidden="1" customWidth="1"/>
    <col min="15627" max="15627" width="7.1796875" style="339" hidden="1" customWidth="1"/>
    <col min="15628" max="15629" width="7.81640625" style="339" hidden="1" customWidth="1"/>
    <col min="15630" max="15630" width="5" style="339" hidden="1" customWidth="1"/>
    <col min="15631" max="15631" width="5.54296875" style="339" hidden="1" customWidth="1"/>
    <col min="15632" max="15632" width="4.1796875" style="339" hidden="1" customWidth="1"/>
    <col min="15633" max="15872" width="9.1796875" style="339" hidden="1"/>
    <col min="15873" max="15873" width="3.81640625" style="339" hidden="1" customWidth="1"/>
    <col min="15874" max="15874" width="5.81640625" style="339" hidden="1" customWidth="1"/>
    <col min="15875" max="15875" width="12" style="339" hidden="1" customWidth="1"/>
    <col min="15876" max="15876" width="13" style="339" hidden="1" customWidth="1"/>
    <col min="15877" max="15877" width="12" style="339" hidden="1" customWidth="1"/>
    <col min="15878" max="15878" width="8.81640625" style="339" hidden="1" customWidth="1"/>
    <col min="15879" max="15879" width="7.81640625" style="339" hidden="1" customWidth="1"/>
    <col min="15880" max="15880" width="7.1796875" style="339" hidden="1" customWidth="1"/>
    <col min="15881" max="15881" width="5.81640625" style="339" hidden="1" customWidth="1"/>
    <col min="15882" max="15882" width="4.54296875" style="339" hidden="1" customWidth="1"/>
    <col min="15883" max="15883" width="7.1796875" style="339" hidden="1" customWidth="1"/>
    <col min="15884" max="15885" width="7.81640625" style="339" hidden="1" customWidth="1"/>
    <col min="15886" max="15886" width="5" style="339" hidden="1" customWidth="1"/>
    <col min="15887" max="15887" width="5.54296875" style="339" hidden="1" customWidth="1"/>
    <col min="15888" max="15888" width="4.1796875" style="339" hidden="1" customWidth="1"/>
    <col min="15889" max="16128" width="9.1796875" style="339" hidden="1"/>
    <col min="16129" max="16129" width="3.81640625" style="339" hidden="1" customWidth="1"/>
    <col min="16130" max="16130" width="5.81640625" style="339" hidden="1" customWidth="1"/>
    <col min="16131" max="16131" width="12" style="339" hidden="1" customWidth="1"/>
    <col min="16132" max="16132" width="13" style="339" hidden="1" customWidth="1"/>
    <col min="16133" max="16133" width="12" style="339" hidden="1" customWidth="1"/>
    <col min="16134" max="16134" width="8.81640625" style="339" hidden="1" customWidth="1"/>
    <col min="16135" max="16135" width="7.81640625" style="339" hidden="1" customWidth="1"/>
    <col min="16136" max="16136" width="7.1796875" style="339" hidden="1" customWidth="1"/>
    <col min="16137" max="16137" width="5.81640625" style="339" hidden="1" customWidth="1"/>
    <col min="16138" max="16138" width="4.54296875" style="339" hidden="1" customWidth="1"/>
    <col min="16139" max="16139" width="7.1796875" style="339" hidden="1" customWidth="1"/>
    <col min="16140" max="16141" width="7.81640625" style="339" hidden="1" customWidth="1"/>
    <col min="16142" max="16142" width="5" style="339" hidden="1" customWidth="1"/>
    <col min="16143" max="16143" width="5.54296875" style="339" hidden="1" customWidth="1"/>
    <col min="16144" max="16144" width="4.1796875" style="339" hidden="1" customWidth="1"/>
    <col min="16145" max="16384" width="9.1796875" style="339" hidden="1"/>
  </cols>
  <sheetData>
    <row r="1" spans="1:15" ht="45.75" customHeight="1">
      <c r="B1" s="396" t="str">
        <f>'Customer Information'!A1</f>
        <v>2025 Commercial Efficiency Program</v>
      </c>
      <c r="C1" s="395"/>
      <c r="D1" s="395"/>
      <c r="E1" s="395"/>
      <c r="F1" s="395"/>
      <c r="G1" s="395"/>
      <c r="H1" s="395"/>
      <c r="I1" s="395"/>
      <c r="J1" s="395"/>
      <c r="K1" s="395"/>
      <c r="L1" s="395"/>
      <c r="M1" s="395"/>
      <c r="N1" s="395"/>
    </row>
    <row r="2" spans="1:15" ht="35.25" customHeight="1">
      <c r="B2" s="392"/>
      <c r="C2" s="394" t="s">
        <v>830</v>
      </c>
      <c r="D2" s="393"/>
      <c r="E2" s="393"/>
      <c r="F2" s="393"/>
      <c r="G2" s="393"/>
      <c r="H2" s="393"/>
      <c r="I2" s="393"/>
      <c r="J2" s="393"/>
      <c r="K2" s="393"/>
      <c r="L2" s="393"/>
      <c r="M2" s="393"/>
      <c r="N2" s="393"/>
      <c r="O2" s="392"/>
    </row>
    <row r="3" spans="1:15" s="389" customFormat="1" ht="14.5">
      <c r="B3" s="390"/>
      <c r="O3" s="391"/>
    </row>
    <row r="4" spans="1:15" s="389" customFormat="1" ht="16.5" customHeight="1">
      <c r="B4" s="390"/>
    </row>
    <row r="5" spans="1:15" s="340" customFormat="1" ht="14">
      <c r="C5" s="388" t="s">
        <v>829</v>
      </c>
      <c r="D5" s="387" t="s">
        <v>414</v>
      </c>
      <c r="F5" s="386"/>
      <c r="G5" s="386"/>
      <c r="H5" s="386"/>
      <c r="I5" s="386"/>
      <c r="J5" s="386"/>
      <c r="K5" s="386"/>
      <c r="L5" s="386"/>
      <c r="M5" s="386"/>
    </row>
    <row r="6" spans="1:15" s="348" customFormat="1" ht="14">
      <c r="B6" s="345"/>
      <c r="C6" s="385" t="s">
        <v>170</v>
      </c>
      <c r="D6" s="384" t="s">
        <v>414</v>
      </c>
      <c r="E6" s="383"/>
      <c r="F6" s="355"/>
      <c r="G6" s="355"/>
      <c r="H6" s="355"/>
      <c r="I6" s="355"/>
    </row>
    <row r="7" spans="1:15" s="348" customFormat="1" ht="14">
      <c r="B7" s="345"/>
    </row>
    <row r="8" spans="1:15" s="348" customFormat="1" ht="14">
      <c r="B8" s="345"/>
      <c r="C8" s="1192" t="s">
        <v>828</v>
      </c>
      <c r="D8" s="1192"/>
      <c r="E8" s="1192"/>
      <c r="F8" s="1192"/>
      <c r="H8" s="361"/>
      <c r="I8" s="361"/>
      <c r="J8" s="382"/>
      <c r="K8" s="361"/>
      <c r="L8" s="361"/>
    </row>
    <row r="9" spans="1:15" s="345" customFormat="1" ht="14">
      <c r="C9" s="377"/>
      <c r="D9" s="376"/>
      <c r="E9" s="376"/>
      <c r="F9" s="376"/>
      <c r="G9" s="365"/>
      <c r="H9" s="376" t="s">
        <v>803</v>
      </c>
      <c r="I9" s="376"/>
      <c r="K9" s="376" t="s">
        <v>802</v>
      </c>
      <c r="L9" s="375"/>
    </row>
    <row r="10" spans="1:15" s="345" customFormat="1" ht="14">
      <c r="C10" s="352" t="s">
        <v>827</v>
      </c>
      <c r="D10" s="348"/>
      <c r="E10" s="353"/>
      <c r="F10" s="353"/>
      <c r="G10" s="348"/>
      <c r="H10" s="374"/>
      <c r="I10" s="354" t="s">
        <v>804</v>
      </c>
      <c r="K10" s="374"/>
      <c r="L10" s="381" t="s">
        <v>804</v>
      </c>
    </row>
    <row r="11" spans="1:15" s="345" customFormat="1" ht="14">
      <c r="C11" s="352" t="s">
        <v>823</v>
      </c>
      <c r="D11" s="348"/>
      <c r="E11" s="353"/>
      <c r="F11" s="353"/>
      <c r="G11" s="353"/>
      <c r="H11" s="374"/>
      <c r="I11" s="348" t="s">
        <v>804</v>
      </c>
      <c r="K11" s="374"/>
      <c r="L11" s="381" t="s">
        <v>804</v>
      </c>
    </row>
    <row r="12" spans="1:15" s="345" customFormat="1" ht="14">
      <c r="C12" s="352" t="s">
        <v>826</v>
      </c>
      <c r="D12" s="348"/>
      <c r="E12" s="353"/>
      <c r="F12" s="353"/>
      <c r="G12" s="353"/>
      <c r="H12" s="373"/>
      <c r="I12" s="348" t="s">
        <v>804</v>
      </c>
      <c r="K12" s="373"/>
      <c r="L12" s="381" t="s">
        <v>804</v>
      </c>
    </row>
    <row r="13" spans="1:15" s="345" customFormat="1" ht="14">
      <c r="C13" s="380"/>
      <c r="D13" s="1193"/>
      <c r="E13" s="1193"/>
      <c r="F13" s="1193"/>
      <c r="G13" s="371"/>
      <c r="H13" s="370"/>
      <c r="I13" s="371"/>
      <c r="J13" s="371"/>
      <c r="K13" s="371"/>
      <c r="L13" s="368"/>
    </row>
    <row r="14" spans="1:15" s="345" customFormat="1" ht="14">
      <c r="C14" s="367" t="s">
        <v>189</v>
      </c>
      <c r="D14" s="1194"/>
      <c r="E14" s="1194"/>
      <c r="F14" s="1194"/>
      <c r="G14" s="1194"/>
      <c r="H14" s="1194"/>
      <c r="I14" s="1194"/>
      <c r="J14" s="1194"/>
      <c r="K14" s="1194"/>
      <c r="L14" s="1195"/>
    </row>
    <row r="15" spans="1:15" s="345" customFormat="1" ht="14">
      <c r="C15" s="379"/>
      <c r="D15" s="1196"/>
      <c r="E15" s="1196"/>
      <c r="F15" s="1196"/>
      <c r="G15" s="1196"/>
      <c r="H15" s="1196"/>
      <c r="I15" s="1196"/>
      <c r="J15" s="1196"/>
      <c r="K15" s="1196"/>
      <c r="L15" s="1197"/>
    </row>
    <row r="16" spans="1:15" s="345" customFormat="1" ht="14"/>
    <row r="17" spans="2:14" s="345" customFormat="1" ht="14">
      <c r="C17" s="1192" t="s">
        <v>825</v>
      </c>
      <c r="D17" s="1192"/>
      <c r="E17" s="1192"/>
      <c r="F17" s="1192"/>
      <c r="G17" s="348"/>
      <c r="H17" s="348"/>
      <c r="I17" s="348"/>
      <c r="J17" s="371"/>
      <c r="K17" s="361"/>
      <c r="L17" s="378"/>
    </row>
    <row r="18" spans="2:14" s="345" customFormat="1" ht="14">
      <c r="C18" s="377"/>
      <c r="D18" s="376"/>
      <c r="E18" s="376"/>
      <c r="F18" s="376"/>
      <c r="G18" s="365"/>
      <c r="H18" s="376" t="s">
        <v>803</v>
      </c>
      <c r="I18" s="376"/>
      <c r="K18" s="376" t="s">
        <v>802</v>
      </c>
      <c r="L18" s="375"/>
    </row>
    <row r="19" spans="2:14" s="345" customFormat="1" ht="14">
      <c r="C19" s="1198" t="s">
        <v>824</v>
      </c>
      <c r="D19" s="1199"/>
      <c r="E19" s="1200"/>
      <c r="F19" s="1200"/>
      <c r="G19" s="348"/>
      <c r="H19" s="374"/>
      <c r="I19" s="348" t="s">
        <v>806</v>
      </c>
      <c r="K19" s="374"/>
      <c r="L19" s="350" t="s">
        <v>806</v>
      </c>
    </row>
    <row r="20" spans="2:14" s="345" customFormat="1" ht="14">
      <c r="C20" s="1198" t="s">
        <v>823</v>
      </c>
      <c r="D20" s="1199"/>
      <c r="E20" s="1200"/>
      <c r="F20" s="1200"/>
      <c r="G20" s="348"/>
      <c r="H20" s="373"/>
      <c r="I20" s="348" t="s">
        <v>806</v>
      </c>
      <c r="K20" s="373"/>
      <c r="L20" s="350" t="s">
        <v>806</v>
      </c>
    </row>
    <row r="21" spans="2:14" s="345" customFormat="1" ht="14">
      <c r="C21" s="352"/>
      <c r="D21" s="348"/>
      <c r="E21" s="355"/>
      <c r="F21" s="355"/>
      <c r="G21" s="353"/>
      <c r="I21" s="348"/>
      <c r="J21" s="353"/>
      <c r="K21" s="348"/>
      <c r="L21" s="350"/>
    </row>
    <row r="22" spans="2:14" s="345" customFormat="1" ht="14">
      <c r="C22" s="352" t="s">
        <v>822</v>
      </c>
      <c r="D22" s="348"/>
      <c r="E22" s="348"/>
      <c r="F22" s="348"/>
      <c r="G22" s="348"/>
      <c r="I22" s="348"/>
      <c r="J22" s="348"/>
      <c r="K22" s="348"/>
      <c r="L22" s="350"/>
    </row>
    <row r="23" spans="2:14" s="345" customFormat="1" ht="14">
      <c r="C23" s="372"/>
      <c r="D23" s="371"/>
      <c r="E23" s="369"/>
      <c r="F23" s="369"/>
      <c r="G23" s="369"/>
      <c r="H23" s="370"/>
      <c r="I23" s="369"/>
      <c r="J23" s="369"/>
      <c r="K23" s="369"/>
      <c r="L23" s="368"/>
    </row>
    <row r="24" spans="2:14" s="345" customFormat="1" ht="14">
      <c r="C24" s="367" t="s">
        <v>189</v>
      </c>
      <c r="D24" s="1194"/>
      <c r="E24" s="1194"/>
      <c r="F24" s="1194"/>
      <c r="G24" s="1194"/>
      <c r="H24" s="1194"/>
      <c r="I24" s="1194"/>
      <c r="J24" s="1194"/>
      <c r="K24" s="1194"/>
      <c r="L24" s="1195"/>
    </row>
    <row r="25" spans="2:14" s="345" customFormat="1" ht="14">
      <c r="C25" s="347"/>
      <c r="D25" s="1196"/>
      <c r="E25" s="1196"/>
      <c r="F25" s="1196"/>
      <c r="G25" s="1196"/>
      <c r="H25" s="1196"/>
      <c r="I25" s="1196"/>
      <c r="J25" s="1196"/>
      <c r="K25" s="1196"/>
      <c r="L25" s="1197"/>
      <c r="M25" s="345" t="s">
        <v>821</v>
      </c>
    </row>
    <row r="26" spans="2:14" s="345" customFormat="1" ht="14"/>
    <row r="27" spans="2:14" s="345" customFormat="1" ht="14">
      <c r="B27" s="348"/>
      <c r="C27" s="1192" t="s">
        <v>820</v>
      </c>
      <c r="D27" s="1192"/>
      <c r="E27" s="1192"/>
      <c r="F27" s="1192"/>
      <c r="G27" s="1192"/>
      <c r="H27" s="1192"/>
      <c r="I27" s="1192"/>
      <c r="J27" s="1192"/>
      <c r="K27" s="1192"/>
      <c r="L27" s="1192"/>
      <c r="M27" s="1192"/>
      <c r="N27" s="1192"/>
    </row>
    <row r="28" spans="2:14" s="345" customFormat="1" ht="14">
      <c r="B28" s="348"/>
      <c r="C28" s="366" t="s">
        <v>777</v>
      </c>
      <c r="D28" s="1201"/>
      <c r="E28" s="1201"/>
      <c r="F28" s="365"/>
      <c r="G28" s="365"/>
      <c r="H28" s="364"/>
      <c r="I28" s="363" t="s">
        <v>817</v>
      </c>
      <c r="J28" s="1201"/>
      <c r="K28" s="1201"/>
      <c r="L28" s="1201"/>
      <c r="M28" s="1201"/>
      <c r="N28" s="362"/>
    </row>
    <row r="29" spans="2:14" s="345" customFormat="1" ht="14">
      <c r="B29" s="348"/>
      <c r="C29" s="352" t="s">
        <v>816</v>
      </c>
      <c r="D29" s="1201"/>
      <c r="E29" s="1201"/>
      <c r="F29" s="348"/>
      <c r="G29" s="348"/>
      <c r="I29" s="353" t="s">
        <v>815</v>
      </c>
      <c r="J29" s="1201"/>
      <c r="K29" s="1201"/>
      <c r="L29" s="1201"/>
      <c r="M29" s="1201"/>
      <c r="N29" s="350"/>
    </row>
    <row r="30" spans="2:14" s="345" customFormat="1" ht="14">
      <c r="B30" s="348"/>
      <c r="C30" s="352" t="s">
        <v>814</v>
      </c>
      <c r="D30" s="1201"/>
      <c r="E30" s="1201"/>
      <c r="F30" s="348"/>
      <c r="G30" s="348"/>
      <c r="I30" s="353" t="s">
        <v>813</v>
      </c>
      <c r="J30" s="1201"/>
      <c r="K30" s="1201"/>
      <c r="L30" s="1201"/>
      <c r="M30" s="1201"/>
      <c r="N30" s="350"/>
    </row>
    <row r="31" spans="2:14" s="345" customFormat="1" ht="14">
      <c r="B31" s="348"/>
      <c r="C31" s="352" t="s">
        <v>812</v>
      </c>
      <c r="D31" s="1201"/>
      <c r="E31" s="1201"/>
      <c r="F31" s="348"/>
      <c r="G31" s="348"/>
      <c r="I31" s="353" t="s">
        <v>811</v>
      </c>
      <c r="J31" s="1201"/>
      <c r="K31" s="1201"/>
      <c r="L31" s="1201"/>
      <c r="M31" s="1201"/>
      <c r="N31" s="350"/>
    </row>
    <row r="32" spans="2:14" s="345" customFormat="1" ht="14">
      <c r="B32" s="348"/>
      <c r="C32" s="356"/>
      <c r="D32" s="1202" t="s">
        <v>803</v>
      </c>
      <c r="E32" s="1202"/>
      <c r="F32" s="1202"/>
      <c r="G32" s="1202"/>
      <c r="H32" s="354"/>
      <c r="I32" s="354"/>
      <c r="J32" s="354"/>
      <c r="K32" s="361" t="s">
        <v>802</v>
      </c>
      <c r="L32" s="361"/>
      <c r="M32" s="361"/>
      <c r="N32" s="350"/>
    </row>
    <row r="33" spans="2:14" s="345" customFormat="1" ht="23.15" customHeight="1">
      <c r="B33" s="348"/>
      <c r="C33" s="356" t="s">
        <v>808</v>
      </c>
      <c r="D33" s="359"/>
      <c r="E33" s="360" t="s">
        <v>806</v>
      </c>
      <c r="F33" s="1203"/>
      <c r="G33" s="1204"/>
      <c r="H33" s="348"/>
      <c r="I33" s="1203"/>
      <c r="J33" s="1205"/>
      <c r="K33" s="360" t="s">
        <v>806</v>
      </c>
      <c r="L33" s="1203"/>
      <c r="M33" s="1204"/>
      <c r="N33" s="350"/>
    </row>
    <row r="34" spans="2:14" s="345" customFormat="1" ht="23.15" customHeight="1">
      <c r="B34" s="348"/>
      <c r="C34" s="356" t="s">
        <v>807</v>
      </c>
      <c r="D34" s="359"/>
      <c r="E34" s="354" t="s">
        <v>806</v>
      </c>
      <c r="F34" s="1203"/>
      <c r="G34" s="1204"/>
      <c r="H34" s="348"/>
      <c r="I34" s="1203"/>
      <c r="J34" s="1205"/>
      <c r="K34" s="354" t="s">
        <v>806</v>
      </c>
      <c r="L34" s="1203"/>
      <c r="M34" s="1204"/>
      <c r="N34" s="350"/>
    </row>
    <row r="35" spans="2:14" s="345" customFormat="1" ht="23.15" customHeight="1">
      <c r="B35" s="348"/>
      <c r="C35" s="356" t="s">
        <v>805</v>
      </c>
      <c r="D35" s="359"/>
      <c r="E35" s="357" t="s">
        <v>804</v>
      </c>
      <c r="F35" s="1203"/>
      <c r="G35" s="1204"/>
      <c r="H35" s="348"/>
      <c r="I35" s="1203"/>
      <c r="J35" s="1205"/>
      <c r="K35" s="357" t="s">
        <v>804</v>
      </c>
      <c r="L35" s="1203"/>
      <c r="M35" s="1204"/>
      <c r="N35" s="350"/>
    </row>
    <row r="36" spans="2:14" s="345" customFormat="1" ht="8.25" customHeight="1">
      <c r="B36" s="348"/>
      <c r="C36" s="356"/>
      <c r="D36" s="353"/>
      <c r="E36" s="354"/>
      <c r="F36" s="348"/>
      <c r="G36" s="348"/>
      <c r="H36" s="348"/>
      <c r="I36" s="355"/>
      <c r="J36" s="355"/>
      <c r="K36" s="354"/>
      <c r="L36" s="348"/>
      <c r="M36" s="348"/>
      <c r="N36" s="350"/>
    </row>
    <row r="37" spans="2:14" s="345" customFormat="1" ht="14">
      <c r="B37" s="348"/>
      <c r="C37" s="352"/>
      <c r="D37" s="348"/>
      <c r="E37" s="1200" t="s">
        <v>803</v>
      </c>
      <c r="F37" s="1200"/>
      <c r="G37" s="348"/>
      <c r="H37" s="1200"/>
      <c r="I37" s="1200"/>
      <c r="J37" s="1200"/>
      <c r="K37" s="1200" t="s">
        <v>802</v>
      </c>
      <c r="L37" s="1200"/>
      <c r="M37" s="1200"/>
      <c r="N37" s="350"/>
    </row>
    <row r="38" spans="2:14" s="345" customFormat="1" ht="14">
      <c r="B38" s="348"/>
      <c r="C38" s="352"/>
      <c r="D38" s="353" t="s">
        <v>801</v>
      </c>
      <c r="E38" s="1203"/>
      <c r="F38" s="1204"/>
      <c r="G38" s="348"/>
      <c r="H38" s="348"/>
      <c r="I38" s="348"/>
      <c r="J38" s="348"/>
      <c r="K38" s="1203"/>
      <c r="L38" s="1205"/>
      <c r="M38" s="1204"/>
      <c r="N38" s="350"/>
    </row>
    <row r="39" spans="2:14" s="345" customFormat="1" ht="14">
      <c r="B39" s="348"/>
      <c r="C39" s="352"/>
      <c r="D39" s="348"/>
      <c r="E39" s="351"/>
      <c r="F39" s="348"/>
      <c r="G39" s="348"/>
      <c r="H39" s="348"/>
      <c r="I39" s="348"/>
      <c r="J39" s="348"/>
      <c r="K39" s="348"/>
      <c r="L39" s="348"/>
      <c r="M39" s="348"/>
      <c r="N39" s="350"/>
    </row>
    <row r="40" spans="2:14" s="345" customFormat="1" ht="14">
      <c r="B40" s="348"/>
      <c r="C40" s="349" t="s">
        <v>189</v>
      </c>
      <c r="D40" s="1194"/>
      <c r="E40" s="1194"/>
      <c r="F40" s="1194"/>
      <c r="G40" s="1194"/>
      <c r="H40" s="1194"/>
      <c r="I40" s="1194"/>
      <c r="J40" s="1194"/>
      <c r="K40" s="1194"/>
      <c r="L40" s="1194"/>
      <c r="M40" s="1194"/>
      <c r="N40" s="1195"/>
    </row>
    <row r="41" spans="2:14" s="345" customFormat="1" ht="14">
      <c r="B41" s="348"/>
      <c r="C41" s="347"/>
      <c r="D41" s="1196"/>
      <c r="E41" s="1196"/>
      <c r="F41" s="1196"/>
      <c r="G41" s="1196"/>
      <c r="H41" s="1196"/>
      <c r="I41" s="1196"/>
      <c r="J41" s="1196"/>
      <c r="K41" s="1196"/>
      <c r="L41" s="1196"/>
      <c r="M41" s="1196"/>
      <c r="N41" s="1197"/>
    </row>
    <row r="42" spans="2:14" s="345" customFormat="1" ht="14">
      <c r="B42" s="348"/>
      <c r="C42" s="348"/>
      <c r="D42" s="348"/>
      <c r="E42" s="351"/>
      <c r="F42" s="348"/>
      <c r="G42" s="348"/>
      <c r="H42" s="348"/>
      <c r="I42" s="348"/>
      <c r="J42" s="348"/>
      <c r="K42" s="348"/>
      <c r="L42" s="348"/>
      <c r="M42" s="348"/>
      <c r="N42" s="348"/>
    </row>
    <row r="43" spans="2:14" s="345" customFormat="1" ht="14">
      <c r="B43" s="348"/>
      <c r="C43" s="1192" t="s">
        <v>819</v>
      </c>
      <c r="D43" s="1192"/>
      <c r="E43" s="1192"/>
      <c r="F43" s="1192"/>
      <c r="G43" s="1192"/>
      <c r="H43" s="1192"/>
      <c r="I43" s="1192"/>
      <c r="J43" s="1192"/>
      <c r="K43" s="1192"/>
      <c r="L43" s="1192"/>
      <c r="M43" s="1192"/>
      <c r="N43" s="1192"/>
    </row>
    <row r="44" spans="2:14" s="345" customFormat="1" ht="14">
      <c r="B44" s="348"/>
      <c r="C44" s="366" t="s">
        <v>777</v>
      </c>
      <c r="D44" s="1201"/>
      <c r="E44" s="1201"/>
      <c r="F44" s="365"/>
      <c r="G44" s="365"/>
      <c r="H44" s="364"/>
      <c r="I44" s="363" t="s">
        <v>817</v>
      </c>
      <c r="J44" s="1201"/>
      <c r="K44" s="1201"/>
      <c r="L44" s="1201"/>
      <c r="M44" s="1201"/>
      <c r="N44" s="362"/>
    </row>
    <row r="45" spans="2:14" s="345" customFormat="1" ht="14">
      <c r="B45" s="348"/>
      <c r="C45" s="352" t="s">
        <v>816</v>
      </c>
      <c r="D45" s="1201"/>
      <c r="E45" s="1201"/>
      <c r="F45" s="348"/>
      <c r="G45" s="348"/>
      <c r="I45" s="353" t="s">
        <v>815</v>
      </c>
      <c r="J45" s="1201"/>
      <c r="K45" s="1201"/>
      <c r="L45" s="1201"/>
      <c r="M45" s="1201"/>
      <c r="N45" s="350"/>
    </row>
    <row r="46" spans="2:14" s="345" customFormat="1" ht="14">
      <c r="B46" s="348"/>
      <c r="C46" s="352" t="s">
        <v>814</v>
      </c>
      <c r="D46" s="1201"/>
      <c r="E46" s="1201"/>
      <c r="F46" s="348"/>
      <c r="G46" s="348"/>
      <c r="I46" s="353" t="s">
        <v>813</v>
      </c>
      <c r="J46" s="1201"/>
      <c r="K46" s="1201"/>
      <c r="L46" s="1201"/>
      <c r="M46" s="1201"/>
      <c r="N46" s="350"/>
    </row>
    <row r="47" spans="2:14" s="345" customFormat="1" ht="14">
      <c r="B47" s="348"/>
      <c r="C47" s="352" t="s">
        <v>812</v>
      </c>
      <c r="D47" s="1201"/>
      <c r="E47" s="1201"/>
      <c r="F47" s="348"/>
      <c r="G47" s="348"/>
      <c r="I47" s="353" t="s">
        <v>811</v>
      </c>
      <c r="J47" s="1201"/>
      <c r="K47" s="1201"/>
      <c r="L47" s="1201"/>
      <c r="M47" s="1201"/>
      <c r="N47" s="350"/>
    </row>
    <row r="48" spans="2:14" s="345" customFormat="1" ht="14">
      <c r="B48" s="348"/>
      <c r="C48" s="356"/>
      <c r="D48" s="1202" t="s">
        <v>803</v>
      </c>
      <c r="E48" s="1202"/>
      <c r="F48" s="1202"/>
      <c r="G48" s="1202"/>
      <c r="H48" s="354"/>
      <c r="I48" s="354"/>
      <c r="J48" s="354"/>
      <c r="K48" s="361" t="s">
        <v>802</v>
      </c>
      <c r="L48" s="361"/>
      <c r="M48" s="361"/>
      <c r="N48" s="350"/>
    </row>
    <row r="49" spans="2:14" s="345" customFormat="1" ht="23.15" customHeight="1">
      <c r="B49" s="348"/>
      <c r="C49" s="356" t="s">
        <v>808</v>
      </c>
      <c r="D49" s="359"/>
      <c r="E49" s="360" t="s">
        <v>806</v>
      </c>
      <c r="F49" s="1203"/>
      <c r="G49" s="1204"/>
      <c r="H49" s="348"/>
      <c r="I49" s="1203"/>
      <c r="J49" s="1205"/>
      <c r="K49" s="360" t="s">
        <v>806</v>
      </c>
      <c r="L49" s="1203"/>
      <c r="M49" s="1204"/>
      <c r="N49" s="350"/>
    </row>
    <row r="50" spans="2:14" s="345" customFormat="1" ht="23.15" customHeight="1">
      <c r="B50" s="348"/>
      <c r="C50" s="356" t="s">
        <v>807</v>
      </c>
      <c r="D50" s="359"/>
      <c r="E50" s="354" t="s">
        <v>806</v>
      </c>
      <c r="F50" s="1203"/>
      <c r="G50" s="1204"/>
      <c r="H50" s="348"/>
      <c r="I50" s="1203"/>
      <c r="J50" s="1205"/>
      <c r="K50" s="354" t="s">
        <v>806</v>
      </c>
      <c r="L50" s="1203"/>
      <c r="M50" s="1204"/>
      <c r="N50" s="350"/>
    </row>
    <row r="51" spans="2:14" s="345" customFormat="1" ht="23.15" customHeight="1">
      <c r="B51" s="348"/>
      <c r="C51" s="356" t="s">
        <v>805</v>
      </c>
      <c r="D51" s="358"/>
      <c r="E51" s="357" t="s">
        <v>804</v>
      </c>
      <c r="F51" s="1203"/>
      <c r="G51" s="1204"/>
      <c r="H51" s="348"/>
      <c r="I51" s="1203"/>
      <c r="J51" s="1205"/>
      <c r="K51" s="357" t="s">
        <v>804</v>
      </c>
      <c r="L51" s="1203"/>
      <c r="M51" s="1204"/>
      <c r="N51" s="350"/>
    </row>
    <row r="52" spans="2:14" s="345" customFormat="1" ht="14">
      <c r="B52" s="348"/>
      <c r="C52" s="356"/>
      <c r="D52" s="353"/>
      <c r="E52" s="354"/>
      <c r="F52" s="348"/>
      <c r="G52" s="348"/>
      <c r="H52" s="348"/>
      <c r="I52" s="355"/>
      <c r="J52" s="355"/>
      <c r="K52" s="354"/>
      <c r="L52" s="348"/>
      <c r="M52" s="348"/>
      <c r="N52" s="350"/>
    </row>
    <row r="53" spans="2:14" s="345" customFormat="1" ht="14">
      <c r="B53" s="348"/>
      <c r="C53" s="352"/>
      <c r="D53" s="348"/>
      <c r="E53" s="1200" t="s">
        <v>803</v>
      </c>
      <c r="F53" s="1200"/>
      <c r="G53" s="348"/>
      <c r="H53" s="1200"/>
      <c r="I53" s="1200"/>
      <c r="J53" s="1200"/>
      <c r="K53" s="1200" t="s">
        <v>802</v>
      </c>
      <c r="L53" s="1200"/>
      <c r="M53" s="1200"/>
      <c r="N53" s="350"/>
    </row>
    <row r="54" spans="2:14" s="345" customFormat="1" ht="14">
      <c r="B54" s="348"/>
      <c r="C54" s="352"/>
      <c r="D54" s="353" t="s">
        <v>801</v>
      </c>
      <c r="E54" s="1203"/>
      <c r="F54" s="1204"/>
      <c r="G54" s="348"/>
      <c r="H54" s="348"/>
      <c r="I54" s="348"/>
      <c r="J54" s="348"/>
      <c r="K54" s="1203"/>
      <c r="L54" s="1205"/>
      <c r="M54" s="1204"/>
      <c r="N54" s="350"/>
    </row>
    <row r="55" spans="2:14" s="345" customFormat="1" ht="14">
      <c r="B55" s="348"/>
      <c r="C55" s="352"/>
      <c r="D55" s="348"/>
      <c r="E55" s="351"/>
      <c r="F55" s="348"/>
      <c r="G55" s="348"/>
      <c r="H55" s="348"/>
      <c r="I55" s="348"/>
      <c r="J55" s="348"/>
      <c r="K55" s="348"/>
      <c r="L55" s="348"/>
      <c r="M55" s="348"/>
      <c r="N55" s="350"/>
    </row>
    <row r="56" spans="2:14" s="345" customFormat="1" ht="14">
      <c r="B56" s="348"/>
      <c r="C56" s="349" t="s">
        <v>189</v>
      </c>
      <c r="D56" s="1194"/>
      <c r="E56" s="1194"/>
      <c r="F56" s="1194"/>
      <c r="G56" s="1194"/>
      <c r="H56" s="1194"/>
      <c r="I56" s="1194"/>
      <c r="J56" s="1194"/>
      <c r="K56" s="1194"/>
      <c r="L56" s="1194"/>
      <c r="M56" s="1194"/>
      <c r="N56" s="1195"/>
    </row>
    <row r="57" spans="2:14" s="345" customFormat="1" ht="14">
      <c r="B57" s="348"/>
      <c r="C57" s="347"/>
      <c r="D57" s="1196"/>
      <c r="E57" s="1196"/>
      <c r="F57" s="1196"/>
      <c r="G57" s="1196"/>
      <c r="H57" s="1196"/>
      <c r="I57" s="1196"/>
      <c r="J57" s="1196"/>
      <c r="K57" s="1196"/>
      <c r="L57" s="1196"/>
      <c r="M57" s="1196"/>
      <c r="N57" s="1197"/>
    </row>
    <row r="58" spans="2:14" s="345" customFormat="1" ht="14">
      <c r="B58" s="348"/>
      <c r="C58" s="348"/>
      <c r="D58" s="348"/>
      <c r="E58" s="351"/>
      <c r="F58" s="348"/>
      <c r="G58" s="348"/>
      <c r="H58" s="348"/>
      <c r="I58" s="348"/>
      <c r="J58" s="348"/>
      <c r="K58" s="348"/>
      <c r="L58" s="348"/>
      <c r="M58" s="348"/>
      <c r="N58" s="348"/>
    </row>
    <row r="59" spans="2:14" s="345" customFormat="1" ht="14">
      <c r="B59" s="348"/>
      <c r="C59" s="1192" t="s">
        <v>818</v>
      </c>
      <c r="D59" s="1192"/>
      <c r="E59" s="1192"/>
      <c r="F59" s="1192"/>
      <c r="G59" s="1192"/>
      <c r="H59" s="1192"/>
      <c r="I59" s="1192"/>
      <c r="J59" s="1192"/>
      <c r="K59" s="1192"/>
      <c r="L59" s="1192"/>
      <c r="M59" s="1192"/>
      <c r="N59" s="1192"/>
    </row>
    <row r="60" spans="2:14" s="345" customFormat="1" ht="14">
      <c r="B60" s="348"/>
      <c r="C60" s="366" t="s">
        <v>777</v>
      </c>
      <c r="D60" s="1201"/>
      <c r="E60" s="1201"/>
      <c r="F60" s="365"/>
      <c r="G60" s="365"/>
      <c r="H60" s="364"/>
      <c r="I60" s="363" t="s">
        <v>817</v>
      </c>
      <c r="J60" s="1201"/>
      <c r="K60" s="1201"/>
      <c r="L60" s="1201"/>
      <c r="M60" s="1201"/>
      <c r="N60" s="362"/>
    </row>
    <row r="61" spans="2:14" s="345" customFormat="1" ht="14">
      <c r="B61" s="348"/>
      <c r="C61" s="352" t="s">
        <v>816</v>
      </c>
      <c r="D61" s="1201"/>
      <c r="E61" s="1201"/>
      <c r="F61" s="348"/>
      <c r="G61" s="348"/>
      <c r="I61" s="353" t="s">
        <v>815</v>
      </c>
      <c r="J61" s="1201"/>
      <c r="K61" s="1201"/>
      <c r="L61" s="1201"/>
      <c r="M61" s="1201"/>
      <c r="N61" s="350"/>
    </row>
    <row r="62" spans="2:14" s="345" customFormat="1" ht="14">
      <c r="B62" s="348"/>
      <c r="C62" s="352" t="s">
        <v>814</v>
      </c>
      <c r="D62" s="1201"/>
      <c r="E62" s="1201"/>
      <c r="F62" s="348"/>
      <c r="G62" s="348"/>
      <c r="I62" s="353" t="s">
        <v>813</v>
      </c>
      <c r="J62" s="1201"/>
      <c r="K62" s="1201"/>
      <c r="L62" s="1201"/>
      <c r="M62" s="1201"/>
      <c r="N62" s="350"/>
    </row>
    <row r="63" spans="2:14" s="345" customFormat="1" ht="14">
      <c r="B63" s="348"/>
      <c r="C63" s="352" t="s">
        <v>812</v>
      </c>
      <c r="D63" s="1201"/>
      <c r="E63" s="1201"/>
      <c r="F63" s="348"/>
      <c r="G63" s="348"/>
      <c r="I63" s="353" t="s">
        <v>811</v>
      </c>
      <c r="J63" s="1201"/>
      <c r="K63" s="1201"/>
      <c r="L63" s="1201"/>
      <c r="M63" s="1201"/>
      <c r="N63" s="350"/>
    </row>
    <row r="64" spans="2:14" s="345" customFormat="1" ht="14">
      <c r="B64" s="348"/>
      <c r="C64" s="352" t="s">
        <v>810</v>
      </c>
      <c r="D64" s="1201"/>
      <c r="E64" s="1201"/>
      <c r="F64" s="348"/>
      <c r="G64" s="348"/>
      <c r="I64" s="353" t="s">
        <v>809</v>
      </c>
      <c r="J64" s="1201"/>
      <c r="K64" s="1201"/>
      <c r="L64" s="1201"/>
      <c r="M64" s="1201"/>
      <c r="N64" s="350"/>
    </row>
    <row r="65" spans="2:15" s="345" customFormat="1" ht="14">
      <c r="B65" s="348"/>
      <c r="C65" s="356"/>
      <c r="D65" s="1202" t="s">
        <v>803</v>
      </c>
      <c r="E65" s="1202"/>
      <c r="F65" s="1202"/>
      <c r="G65" s="1202"/>
      <c r="H65" s="354"/>
      <c r="I65" s="354"/>
      <c r="J65" s="354"/>
      <c r="K65" s="361" t="s">
        <v>802</v>
      </c>
      <c r="L65" s="361"/>
      <c r="M65" s="361"/>
      <c r="N65" s="350"/>
    </row>
    <row r="66" spans="2:15" s="345" customFormat="1" ht="23.15" customHeight="1">
      <c r="B66" s="348"/>
      <c r="C66" s="356" t="s">
        <v>808</v>
      </c>
      <c r="D66" s="359"/>
      <c r="E66" s="360" t="s">
        <v>806</v>
      </c>
      <c r="F66" s="1203"/>
      <c r="G66" s="1204"/>
      <c r="H66" s="348"/>
      <c r="I66" s="1203"/>
      <c r="J66" s="1205"/>
      <c r="K66" s="360" t="s">
        <v>806</v>
      </c>
      <c r="L66" s="1203"/>
      <c r="M66" s="1204"/>
      <c r="N66" s="350"/>
    </row>
    <row r="67" spans="2:15" s="345" customFormat="1" ht="23.15" customHeight="1">
      <c r="B67" s="348"/>
      <c r="C67" s="356" t="s">
        <v>807</v>
      </c>
      <c r="D67" s="359"/>
      <c r="E67" s="354" t="s">
        <v>806</v>
      </c>
      <c r="F67" s="1203"/>
      <c r="G67" s="1204"/>
      <c r="H67" s="348"/>
      <c r="I67" s="1203"/>
      <c r="J67" s="1205"/>
      <c r="K67" s="354" t="s">
        <v>806</v>
      </c>
      <c r="L67" s="1203"/>
      <c r="M67" s="1204"/>
      <c r="N67" s="350"/>
    </row>
    <row r="68" spans="2:15" s="345" customFormat="1" ht="23.15" customHeight="1">
      <c r="B68" s="348"/>
      <c r="C68" s="356" t="s">
        <v>805</v>
      </c>
      <c r="D68" s="358"/>
      <c r="E68" s="357" t="s">
        <v>804</v>
      </c>
      <c r="F68" s="1203"/>
      <c r="G68" s="1204"/>
      <c r="H68" s="348"/>
      <c r="I68" s="1203"/>
      <c r="J68" s="1205"/>
      <c r="K68" s="357" t="s">
        <v>804</v>
      </c>
      <c r="L68" s="1203"/>
      <c r="M68" s="1204"/>
      <c r="N68" s="350"/>
    </row>
    <row r="69" spans="2:15" s="345" customFormat="1" ht="14">
      <c r="B69" s="348"/>
      <c r="C69" s="356"/>
      <c r="D69" s="353"/>
      <c r="E69" s="354"/>
      <c r="F69" s="348"/>
      <c r="G69" s="348"/>
      <c r="H69" s="348"/>
      <c r="I69" s="355"/>
      <c r="J69" s="355"/>
      <c r="K69" s="354"/>
      <c r="L69" s="348"/>
      <c r="M69" s="348"/>
      <c r="N69" s="350"/>
    </row>
    <row r="70" spans="2:15" s="345" customFormat="1" ht="14">
      <c r="B70" s="348"/>
      <c r="C70" s="352"/>
      <c r="D70" s="348"/>
      <c r="E70" s="353" t="s">
        <v>803</v>
      </c>
      <c r="F70" s="348"/>
      <c r="G70" s="348"/>
      <c r="H70" s="1200"/>
      <c r="I70" s="1200"/>
      <c r="J70" s="1200"/>
      <c r="K70" s="1200" t="s">
        <v>802</v>
      </c>
      <c r="L70" s="1200"/>
      <c r="M70" s="1200"/>
      <c r="N70" s="350"/>
    </row>
    <row r="71" spans="2:15" s="345" customFormat="1" ht="14">
      <c r="B71" s="348"/>
      <c r="C71" s="352"/>
      <c r="D71" s="353" t="s">
        <v>801</v>
      </c>
      <c r="E71" s="1203"/>
      <c r="F71" s="1204"/>
      <c r="G71" s="348"/>
      <c r="H71" s="348"/>
      <c r="I71" s="348"/>
      <c r="J71" s="348"/>
      <c r="K71" s="1203"/>
      <c r="L71" s="1205"/>
      <c r="M71" s="1204"/>
      <c r="N71" s="350"/>
    </row>
    <row r="72" spans="2:15" s="345" customFormat="1" ht="14">
      <c r="B72" s="348"/>
      <c r="C72" s="352"/>
      <c r="D72" s="348"/>
      <c r="E72" s="351"/>
      <c r="F72" s="348"/>
      <c r="G72" s="348"/>
      <c r="H72" s="348"/>
      <c r="I72" s="348"/>
      <c r="J72" s="348"/>
      <c r="K72" s="348"/>
      <c r="L72" s="348"/>
      <c r="M72" s="348"/>
      <c r="N72" s="350"/>
    </row>
    <row r="73" spans="2:15" s="345" customFormat="1" ht="14">
      <c r="B73" s="348"/>
      <c r="C73" s="349" t="s">
        <v>189</v>
      </c>
      <c r="D73" s="1206"/>
      <c r="E73" s="1206"/>
      <c r="F73" s="1206"/>
      <c r="G73" s="1206"/>
      <c r="H73" s="1206"/>
      <c r="I73" s="1206"/>
      <c r="J73" s="1206"/>
      <c r="K73" s="1206"/>
      <c r="L73" s="1206"/>
      <c r="M73" s="1206"/>
      <c r="N73" s="1207"/>
    </row>
    <row r="74" spans="2:15" s="345" customFormat="1" ht="14">
      <c r="B74" s="348"/>
      <c r="C74" s="347"/>
      <c r="D74" s="1208"/>
      <c r="E74" s="1208"/>
      <c r="F74" s="1208"/>
      <c r="G74" s="1208"/>
      <c r="H74" s="1208"/>
      <c r="I74" s="1208"/>
      <c r="J74" s="1208"/>
      <c r="K74" s="1208"/>
      <c r="L74" s="1208"/>
      <c r="M74" s="1208"/>
      <c r="N74" s="1209"/>
    </row>
    <row r="75" spans="2:15" s="345" customFormat="1" ht="14">
      <c r="E75" s="346"/>
    </row>
    <row r="76" spans="2:15" s="345" customFormat="1" ht="14">
      <c r="E76" s="346"/>
      <c r="F76" s="1210"/>
      <c r="G76" s="1210"/>
      <c r="H76" s="1210"/>
      <c r="I76" s="1210"/>
      <c r="J76" s="1210"/>
      <c r="K76" s="1210"/>
      <c r="L76" s="1210"/>
      <c r="M76" s="1210"/>
      <c r="N76" s="1210"/>
    </row>
    <row r="77" spans="2:15" s="340" customFormat="1" ht="14">
      <c r="B77" s="344"/>
      <c r="C77" s="344"/>
      <c r="D77" s="344"/>
      <c r="E77" s="344"/>
      <c r="F77" s="344"/>
      <c r="G77" s="344"/>
      <c r="H77" s="344"/>
      <c r="I77" s="344"/>
      <c r="J77" s="344"/>
      <c r="K77" s="344"/>
      <c r="L77" s="344"/>
      <c r="M77" s="344"/>
      <c r="N77" s="344"/>
      <c r="O77" s="343"/>
    </row>
    <row r="78" spans="2:15" s="340" customFormat="1" ht="14">
      <c r="B78" s="342" t="s">
        <v>165</v>
      </c>
      <c r="D78" s="480" t="str">
        <f>Development!A2</f>
        <v>1.0</v>
      </c>
      <c r="M78" s="342" t="s">
        <v>167</v>
      </c>
      <c r="N78" s="341" t="str">
        <f>Development!A4</f>
        <v>01.01.2025</v>
      </c>
    </row>
    <row r="79" spans="2:15" s="340" customFormat="1" ht="14" hidden="1"/>
    <row r="80" spans="2:15" s="340" customFormat="1" ht="14" hidden="1"/>
    <row r="81" s="340" customFormat="1" ht="14"/>
    <row r="82" s="340" customFormat="1" ht="14" hidden="1"/>
    <row r="83" ht="14.5" hidden="1"/>
    <row r="84" ht="14.5" hidden="1"/>
    <row r="85" ht="14.5" hidden="1"/>
    <row r="86" ht="14.5" hidden="1"/>
    <row r="87" ht="14.5" hidden="1"/>
    <row r="88" ht="14.5" hidden="1"/>
    <row r="89" ht="14.5" hidden="1"/>
    <row r="90" ht="14.5" hidden="1"/>
    <row r="91" ht="14.5" hidden="1"/>
    <row r="92" ht="14.5" hidden="1"/>
    <row r="93" ht="14.5" hidden="1"/>
    <row r="94" ht="14.5" hidden="1"/>
    <row r="95" ht="14.5" hidden="1"/>
    <row r="96" ht="14.5" hidden="1"/>
    <row r="97" ht="14.5" hidden="1"/>
    <row r="98" ht="14.5" hidden="1"/>
    <row r="99" ht="14.5" hidden="1"/>
    <row r="100" ht="14.5"/>
  </sheetData>
  <mergeCells count="86">
    <mergeCell ref="K71:M71"/>
    <mergeCell ref="D73:N74"/>
    <mergeCell ref="F76:N76"/>
    <mergeCell ref="F67:G67"/>
    <mergeCell ref="I67:J67"/>
    <mergeCell ref="L67:M67"/>
    <mergeCell ref="F68:G68"/>
    <mergeCell ref="I68:J68"/>
    <mergeCell ref="L68:M68"/>
    <mergeCell ref="H70:J70"/>
    <mergeCell ref="K70:M70"/>
    <mergeCell ref="E71:F71"/>
    <mergeCell ref="D64:E64"/>
    <mergeCell ref="J64:M64"/>
    <mergeCell ref="D65:G65"/>
    <mergeCell ref="F66:G66"/>
    <mergeCell ref="I66:J66"/>
    <mergeCell ref="L66:M66"/>
    <mergeCell ref="D61:E61"/>
    <mergeCell ref="J61:M61"/>
    <mergeCell ref="D62:E62"/>
    <mergeCell ref="J62:M62"/>
    <mergeCell ref="D63:E63"/>
    <mergeCell ref="J63:M63"/>
    <mergeCell ref="E54:F54"/>
    <mergeCell ref="K54:M54"/>
    <mergeCell ref="D56:N57"/>
    <mergeCell ref="C59:N59"/>
    <mergeCell ref="D60:E60"/>
    <mergeCell ref="J60:M60"/>
    <mergeCell ref="F51:G51"/>
    <mergeCell ref="I51:J51"/>
    <mergeCell ref="L51:M51"/>
    <mergeCell ref="E53:F53"/>
    <mergeCell ref="H53:J53"/>
    <mergeCell ref="K53:M53"/>
    <mergeCell ref="D48:G48"/>
    <mergeCell ref="F49:G49"/>
    <mergeCell ref="I49:J49"/>
    <mergeCell ref="L49:M49"/>
    <mergeCell ref="F50:G50"/>
    <mergeCell ref="I50:J50"/>
    <mergeCell ref="L50:M50"/>
    <mergeCell ref="D45:E45"/>
    <mergeCell ref="J45:M45"/>
    <mergeCell ref="D46:E46"/>
    <mergeCell ref="J46:M46"/>
    <mergeCell ref="D47:E47"/>
    <mergeCell ref="J47:M47"/>
    <mergeCell ref="E38:F38"/>
    <mergeCell ref="K38:M38"/>
    <mergeCell ref="D40:N41"/>
    <mergeCell ref="C43:N43"/>
    <mergeCell ref="D44:E44"/>
    <mergeCell ref="J44:M44"/>
    <mergeCell ref="F35:G35"/>
    <mergeCell ref="I35:J35"/>
    <mergeCell ref="L35:M35"/>
    <mergeCell ref="E37:F37"/>
    <mergeCell ref="H37:J37"/>
    <mergeCell ref="K37:M37"/>
    <mergeCell ref="D32:G32"/>
    <mergeCell ref="F33:G33"/>
    <mergeCell ref="I33:J33"/>
    <mergeCell ref="L33:M33"/>
    <mergeCell ref="F34:G34"/>
    <mergeCell ref="I34:J34"/>
    <mergeCell ref="L34:M34"/>
    <mergeCell ref="D29:E29"/>
    <mergeCell ref="J29:M29"/>
    <mergeCell ref="D30:E30"/>
    <mergeCell ref="J30:M30"/>
    <mergeCell ref="D31:E31"/>
    <mergeCell ref="J31:M31"/>
    <mergeCell ref="C20:D20"/>
    <mergeCell ref="E20:F20"/>
    <mergeCell ref="D24:L25"/>
    <mergeCell ref="C27:N27"/>
    <mergeCell ref="D28:E28"/>
    <mergeCell ref="J28:M28"/>
    <mergeCell ref="C8:F8"/>
    <mergeCell ref="D13:F13"/>
    <mergeCell ref="D14:L15"/>
    <mergeCell ref="C17:F17"/>
    <mergeCell ref="C19:D19"/>
    <mergeCell ref="E19:F19"/>
  </mergeCells>
  <conditionalFormatting sqref="D5:D6">
    <cfRule type="expression" dxfId="49" priority="1" stopIfTrue="1">
      <formula>D5=""</formula>
    </cfRule>
  </conditionalFormatting>
  <dataValidations count="6">
    <dataValidation type="list" allowBlank="1" showInputMessage="1" showErrorMessage="1" sqref="H32 JD32 SZ32 ACV32 AMR32 AWN32 BGJ32 BQF32 CAB32 CJX32 CTT32 DDP32 DNL32 DXH32 EHD32 EQZ32 FAV32 FKR32 FUN32 GEJ32 GOF32 GYB32 HHX32 HRT32 IBP32 ILL32 IVH32 JFD32 JOZ32 JYV32 KIR32 KSN32 LCJ32 LMF32 LWB32 MFX32 MPT32 MZP32 NJL32 NTH32 ODD32 OMZ32 OWV32 PGR32 PQN32 QAJ32 QKF32 QUB32 RDX32 RNT32 RXP32 SHL32 SRH32 TBD32 TKZ32 TUV32 UER32 UON32 UYJ32 VIF32 VSB32 WBX32 WLT32 WVP32 H65568 JD65568 SZ65568 ACV65568 AMR65568 AWN65568 BGJ65568 BQF65568 CAB65568 CJX65568 CTT65568 DDP65568 DNL65568 DXH65568 EHD65568 EQZ65568 FAV65568 FKR65568 FUN65568 GEJ65568 GOF65568 GYB65568 HHX65568 HRT65568 IBP65568 ILL65568 IVH65568 JFD65568 JOZ65568 JYV65568 KIR65568 KSN65568 LCJ65568 LMF65568 LWB65568 MFX65568 MPT65568 MZP65568 NJL65568 NTH65568 ODD65568 OMZ65568 OWV65568 PGR65568 PQN65568 QAJ65568 QKF65568 QUB65568 RDX65568 RNT65568 RXP65568 SHL65568 SRH65568 TBD65568 TKZ65568 TUV65568 UER65568 UON65568 UYJ65568 VIF65568 VSB65568 WBX65568 WLT65568 WVP65568 H131104 JD131104 SZ131104 ACV131104 AMR131104 AWN131104 BGJ131104 BQF131104 CAB131104 CJX131104 CTT131104 DDP131104 DNL131104 DXH131104 EHD131104 EQZ131104 FAV131104 FKR131104 FUN131104 GEJ131104 GOF131104 GYB131104 HHX131104 HRT131104 IBP131104 ILL131104 IVH131104 JFD131104 JOZ131104 JYV131104 KIR131104 KSN131104 LCJ131104 LMF131104 LWB131104 MFX131104 MPT131104 MZP131104 NJL131104 NTH131104 ODD131104 OMZ131104 OWV131104 PGR131104 PQN131104 QAJ131104 QKF131104 QUB131104 RDX131104 RNT131104 RXP131104 SHL131104 SRH131104 TBD131104 TKZ131104 TUV131104 UER131104 UON131104 UYJ131104 VIF131104 VSB131104 WBX131104 WLT131104 WVP131104 H196640 JD196640 SZ196640 ACV196640 AMR196640 AWN196640 BGJ196640 BQF196640 CAB196640 CJX196640 CTT196640 DDP196640 DNL196640 DXH196640 EHD196640 EQZ196640 FAV196640 FKR196640 FUN196640 GEJ196640 GOF196640 GYB196640 HHX196640 HRT196640 IBP196640 ILL196640 IVH196640 JFD196640 JOZ196640 JYV196640 KIR196640 KSN196640 LCJ196640 LMF196640 LWB196640 MFX196640 MPT196640 MZP196640 NJL196640 NTH196640 ODD196640 OMZ196640 OWV196640 PGR196640 PQN196640 QAJ196640 QKF196640 QUB196640 RDX196640 RNT196640 RXP196640 SHL196640 SRH196640 TBD196640 TKZ196640 TUV196640 UER196640 UON196640 UYJ196640 VIF196640 VSB196640 WBX196640 WLT196640 WVP196640 H262176 JD262176 SZ262176 ACV262176 AMR262176 AWN262176 BGJ262176 BQF262176 CAB262176 CJX262176 CTT262176 DDP262176 DNL262176 DXH262176 EHD262176 EQZ262176 FAV262176 FKR262176 FUN262176 GEJ262176 GOF262176 GYB262176 HHX262176 HRT262176 IBP262176 ILL262176 IVH262176 JFD262176 JOZ262176 JYV262176 KIR262176 KSN262176 LCJ262176 LMF262176 LWB262176 MFX262176 MPT262176 MZP262176 NJL262176 NTH262176 ODD262176 OMZ262176 OWV262176 PGR262176 PQN262176 QAJ262176 QKF262176 QUB262176 RDX262176 RNT262176 RXP262176 SHL262176 SRH262176 TBD262176 TKZ262176 TUV262176 UER262176 UON262176 UYJ262176 VIF262176 VSB262176 WBX262176 WLT262176 WVP262176 H327712 JD327712 SZ327712 ACV327712 AMR327712 AWN327712 BGJ327712 BQF327712 CAB327712 CJX327712 CTT327712 DDP327712 DNL327712 DXH327712 EHD327712 EQZ327712 FAV327712 FKR327712 FUN327712 GEJ327712 GOF327712 GYB327712 HHX327712 HRT327712 IBP327712 ILL327712 IVH327712 JFD327712 JOZ327712 JYV327712 KIR327712 KSN327712 LCJ327712 LMF327712 LWB327712 MFX327712 MPT327712 MZP327712 NJL327712 NTH327712 ODD327712 OMZ327712 OWV327712 PGR327712 PQN327712 QAJ327712 QKF327712 QUB327712 RDX327712 RNT327712 RXP327712 SHL327712 SRH327712 TBD327712 TKZ327712 TUV327712 UER327712 UON327712 UYJ327712 VIF327712 VSB327712 WBX327712 WLT327712 WVP327712 H393248 JD393248 SZ393248 ACV393248 AMR393248 AWN393248 BGJ393248 BQF393248 CAB393248 CJX393248 CTT393248 DDP393248 DNL393248 DXH393248 EHD393248 EQZ393248 FAV393248 FKR393248 FUN393248 GEJ393248 GOF393248 GYB393248 HHX393248 HRT393248 IBP393248 ILL393248 IVH393248 JFD393248 JOZ393248 JYV393248 KIR393248 KSN393248 LCJ393248 LMF393248 LWB393248 MFX393248 MPT393248 MZP393248 NJL393248 NTH393248 ODD393248 OMZ393248 OWV393248 PGR393248 PQN393248 QAJ393248 QKF393248 QUB393248 RDX393248 RNT393248 RXP393248 SHL393248 SRH393248 TBD393248 TKZ393248 TUV393248 UER393248 UON393248 UYJ393248 VIF393248 VSB393248 WBX393248 WLT393248 WVP393248 H458784 JD458784 SZ458784 ACV458784 AMR458784 AWN458784 BGJ458784 BQF458784 CAB458784 CJX458784 CTT458784 DDP458784 DNL458784 DXH458784 EHD458784 EQZ458784 FAV458784 FKR458784 FUN458784 GEJ458784 GOF458784 GYB458784 HHX458784 HRT458784 IBP458784 ILL458784 IVH458784 JFD458784 JOZ458784 JYV458784 KIR458784 KSN458784 LCJ458784 LMF458784 LWB458784 MFX458784 MPT458784 MZP458784 NJL458784 NTH458784 ODD458784 OMZ458784 OWV458784 PGR458784 PQN458784 QAJ458784 QKF458784 QUB458784 RDX458784 RNT458784 RXP458784 SHL458784 SRH458784 TBD458784 TKZ458784 TUV458784 UER458784 UON458784 UYJ458784 VIF458784 VSB458784 WBX458784 WLT458784 WVP458784 H524320 JD524320 SZ524320 ACV524320 AMR524320 AWN524320 BGJ524320 BQF524320 CAB524320 CJX524320 CTT524320 DDP524320 DNL524320 DXH524320 EHD524320 EQZ524320 FAV524320 FKR524320 FUN524320 GEJ524320 GOF524320 GYB524320 HHX524320 HRT524320 IBP524320 ILL524320 IVH524320 JFD524320 JOZ524320 JYV524320 KIR524320 KSN524320 LCJ524320 LMF524320 LWB524320 MFX524320 MPT524320 MZP524320 NJL524320 NTH524320 ODD524320 OMZ524320 OWV524320 PGR524320 PQN524320 QAJ524320 QKF524320 QUB524320 RDX524320 RNT524320 RXP524320 SHL524320 SRH524320 TBD524320 TKZ524320 TUV524320 UER524320 UON524320 UYJ524320 VIF524320 VSB524320 WBX524320 WLT524320 WVP524320 H589856 JD589856 SZ589856 ACV589856 AMR589856 AWN589856 BGJ589856 BQF589856 CAB589856 CJX589856 CTT589856 DDP589856 DNL589856 DXH589856 EHD589856 EQZ589856 FAV589856 FKR589856 FUN589856 GEJ589856 GOF589856 GYB589856 HHX589856 HRT589856 IBP589856 ILL589856 IVH589856 JFD589856 JOZ589856 JYV589856 KIR589856 KSN589856 LCJ589856 LMF589856 LWB589856 MFX589856 MPT589856 MZP589856 NJL589856 NTH589856 ODD589856 OMZ589856 OWV589856 PGR589856 PQN589856 QAJ589856 QKF589856 QUB589856 RDX589856 RNT589856 RXP589856 SHL589856 SRH589856 TBD589856 TKZ589856 TUV589856 UER589856 UON589856 UYJ589856 VIF589856 VSB589856 WBX589856 WLT589856 WVP589856 H655392 JD655392 SZ655392 ACV655392 AMR655392 AWN655392 BGJ655392 BQF655392 CAB655392 CJX655392 CTT655392 DDP655392 DNL655392 DXH655392 EHD655392 EQZ655392 FAV655392 FKR655392 FUN655392 GEJ655392 GOF655392 GYB655392 HHX655392 HRT655392 IBP655392 ILL655392 IVH655392 JFD655392 JOZ655392 JYV655392 KIR655392 KSN655392 LCJ655392 LMF655392 LWB655392 MFX655392 MPT655392 MZP655392 NJL655392 NTH655392 ODD655392 OMZ655392 OWV655392 PGR655392 PQN655392 QAJ655392 QKF655392 QUB655392 RDX655392 RNT655392 RXP655392 SHL655392 SRH655392 TBD655392 TKZ655392 TUV655392 UER655392 UON655392 UYJ655392 VIF655392 VSB655392 WBX655392 WLT655392 WVP655392 H720928 JD720928 SZ720928 ACV720928 AMR720928 AWN720928 BGJ720928 BQF720928 CAB720928 CJX720928 CTT720928 DDP720928 DNL720928 DXH720928 EHD720928 EQZ720928 FAV720928 FKR720928 FUN720928 GEJ720928 GOF720928 GYB720928 HHX720928 HRT720928 IBP720928 ILL720928 IVH720928 JFD720928 JOZ720928 JYV720928 KIR720928 KSN720928 LCJ720928 LMF720928 LWB720928 MFX720928 MPT720928 MZP720928 NJL720928 NTH720928 ODD720928 OMZ720928 OWV720928 PGR720928 PQN720928 QAJ720928 QKF720928 QUB720928 RDX720928 RNT720928 RXP720928 SHL720928 SRH720928 TBD720928 TKZ720928 TUV720928 UER720928 UON720928 UYJ720928 VIF720928 VSB720928 WBX720928 WLT720928 WVP720928 H786464 JD786464 SZ786464 ACV786464 AMR786464 AWN786464 BGJ786464 BQF786464 CAB786464 CJX786464 CTT786464 DDP786464 DNL786464 DXH786464 EHD786464 EQZ786464 FAV786464 FKR786464 FUN786464 GEJ786464 GOF786464 GYB786464 HHX786464 HRT786464 IBP786464 ILL786464 IVH786464 JFD786464 JOZ786464 JYV786464 KIR786464 KSN786464 LCJ786464 LMF786464 LWB786464 MFX786464 MPT786464 MZP786464 NJL786464 NTH786464 ODD786464 OMZ786464 OWV786464 PGR786464 PQN786464 QAJ786464 QKF786464 QUB786464 RDX786464 RNT786464 RXP786464 SHL786464 SRH786464 TBD786464 TKZ786464 TUV786464 UER786464 UON786464 UYJ786464 VIF786464 VSB786464 WBX786464 WLT786464 WVP786464 H852000 JD852000 SZ852000 ACV852000 AMR852000 AWN852000 BGJ852000 BQF852000 CAB852000 CJX852000 CTT852000 DDP852000 DNL852000 DXH852000 EHD852000 EQZ852000 FAV852000 FKR852000 FUN852000 GEJ852000 GOF852000 GYB852000 HHX852000 HRT852000 IBP852000 ILL852000 IVH852000 JFD852000 JOZ852000 JYV852000 KIR852000 KSN852000 LCJ852000 LMF852000 LWB852000 MFX852000 MPT852000 MZP852000 NJL852000 NTH852000 ODD852000 OMZ852000 OWV852000 PGR852000 PQN852000 QAJ852000 QKF852000 QUB852000 RDX852000 RNT852000 RXP852000 SHL852000 SRH852000 TBD852000 TKZ852000 TUV852000 UER852000 UON852000 UYJ852000 VIF852000 VSB852000 WBX852000 WLT852000 WVP852000 H917536 JD917536 SZ917536 ACV917536 AMR917536 AWN917536 BGJ917536 BQF917536 CAB917536 CJX917536 CTT917536 DDP917536 DNL917536 DXH917536 EHD917536 EQZ917536 FAV917536 FKR917536 FUN917536 GEJ917536 GOF917536 GYB917536 HHX917536 HRT917536 IBP917536 ILL917536 IVH917536 JFD917536 JOZ917536 JYV917536 KIR917536 KSN917536 LCJ917536 LMF917536 LWB917536 MFX917536 MPT917536 MZP917536 NJL917536 NTH917536 ODD917536 OMZ917536 OWV917536 PGR917536 PQN917536 QAJ917536 QKF917536 QUB917536 RDX917536 RNT917536 RXP917536 SHL917536 SRH917536 TBD917536 TKZ917536 TUV917536 UER917536 UON917536 UYJ917536 VIF917536 VSB917536 WBX917536 WLT917536 WVP917536 H983072 JD983072 SZ983072 ACV983072 AMR983072 AWN983072 BGJ983072 BQF983072 CAB983072 CJX983072 CTT983072 DDP983072 DNL983072 DXH983072 EHD983072 EQZ983072 FAV983072 FKR983072 FUN983072 GEJ983072 GOF983072 GYB983072 HHX983072 HRT983072 IBP983072 ILL983072 IVH983072 JFD983072 JOZ983072 JYV983072 KIR983072 KSN983072 LCJ983072 LMF983072 LWB983072 MFX983072 MPT983072 MZP983072 NJL983072 NTH983072 ODD983072 OMZ983072 OWV983072 PGR983072 PQN983072 QAJ983072 QKF983072 QUB983072 RDX983072 RNT983072 RXP983072 SHL983072 SRH983072 TBD983072 TKZ983072 TUV983072 UER983072 UON983072 UYJ983072 VIF983072 VSB983072 WBX983072 WLT983072 WVP983072 H48 JD48 SZ48 ACV48 AMR48 AWN48 BGJ48 BQF48 CAB48 CJX48 CTT48 DDP48 DNL48 DXH48 EHD48 EQZ48 FAV48 FKR48 FUN48 GEJ48 GOF48 GYB48 HHX48 HRT48 IBP48 ILL48 IVH48 JFD48 JOZ48 JYV48 KIR48 KSN48 LCJ48 LMF48 LWB48 MFX48 MPT48 MZP48 NJL48 NTH48 ODD48 OMZ48 OWV48 PGR48 PQN48 QAJ48 QKF48 QUB48 RDX48 RNT48 RXP48 SHL48 SRH48 TBD48 TKZ48 TUV48 UER48 UON48 UYJ48 VIF48 VSB48 WBX48 WLT48 WVP48 H65584 JD65584 SZ65584 ACV65584 AMR65584 AWN65584 BGJ65584 BQF65584 CAB65584 CJX65584 CTT65584 DDP65584 DNL65584 DXH65584 EHD65584 EQZ65584 FAV65584 FKR65584 FUN65584 GEJ65584 GOF65584 GYB65584 HHX65584 HRT65584 IBP65584 ILL65584 IVH65584 JFD65584 JOZ65584 JYV65584 KIR65584 KSN65584 LCJ65584 LMF65584 LWB65584 MFX65584 MPT65584 MZP65584 NJL65584 NTH65584 ODD65584 OMZ65584 OWV65584 PGR65584 PQN65584 QAJ65584 QKF65584 QUB65584 RDX65584 RNT65584 RXP65584 SHL65584 SRH65584 TBD65584 TKZ65584 TUV65584 UER65584 UON65584 UYJ65584 VIF65584 VSB65584 WBX65584 WLT65584 WVP65584 H131120 JD131120 SZ131120 ACV131120 AMR131120 AWN131120 BGJ131120 BQF131120 CAB131120 CJX131120 CTT131120 DDP131120 DNL131120 DXH131120 EHD131120 EQZ131120 FAV131120 FKR131120 FUN131120 GEJ131120 GOF131120 GYB131120 HHX131120 HRT131120 IBP131120 ILL131120 IVH131120 JFD131120 JOZ131120 JYV131120 KIR131120 KSN131120 LCJ131120 LMF131120 LWB131120 MFX131120 MPT131120 MZP131120 NJL131120 NTH131120 ODD131120 OMZ131120 OWV131120 PGR131120 PQN131120 QAJ131120 QKF131120 QUB131120 RDX131120 RNT131120 RXP131120 SHL131120 SRH131120 TBD131120 TKZ131120 TUV131120 UER131120 UON131120 UYJ131120 VIF131120 VSB131120 WBX131120 WLT131120 WVP131120 H196656 JD196656 SZ196656 ACV196656 AMR196656 AWN196656 BGJ196656 BQF196656 CAB196656 CJX196656 CTT196656 DDP196656 DNL196656 DXH196656 EHD196656 EQZ196656 FAV196656 FKR196656 FUN196656 GEJ196656 GOF196656 GYB196656 HHX196656 HRT196656 IBP196656 ILL196656 IVH196656 JFD196656 JOZ196656 JYV196656 KIR196656 KSN196656 LCJ196656 LMF196656 LWB196656 MFX196656 MPT196656 MZP196656 NJL196656 NTH196656 ODD196656 OMZ196656 OWV196656 PGR196656 PQN196656 QAJ196656 QKF196656 QUB196656 RDX196656 RNT196656 RXP196656 SHL196656 SRH196656 TBD196656 TKZ196656 TUV196656 UER196656 UON196656 UYJ196656 VIF196656 VSB196656 WBX196656 WLT196656 WVP196656 H262192 JD262192 SZ262192 ACV262192 AMR262192 AWN262192 BGJ262192 BQF262192 CAB262192 CJX262192 CTT262192 DDP262192 DNL262192 DXH262192 EHD262192 EQZ262192 FAV262192 FKR262192 FUN262192 GEJ262192 GOF262192 GYB262192 HHX262192 HRT262192 IBP262192 ILL262192 IVH262192 JFD262192 JOZ262192 JYV262192 KIR262192 KSN262192 LCJ262192 LMF262192 LWB262192 MFX262192 MPT262192 MZP262192 NJL262192 NTH262192 ODD262192 OMZ262192 OWV262192 PGR262192 PQN262192 QAJ262192 QKF262192 QUB262192 RDX262192 RNT262192 RXP262192 SHL262192 SRH262192 TBD262192 TKZ262192 TUV262192 UER262192 UON262192 UYJ262192 VIF262192 VSB262192 WBX262192 WLT262192 WVP262192 H327728 JD327728 SZ327728 ACV327728 AMR327728 AWN327728 BGJ327728 BQF327728 CAB327728 CJX327728 CTT327728 DDP327728 DNL327728 DXH327728 EHD327728 EQZ327728 FAV327728 FKR327728 FUN327728 GEJ327728 GOF327728 GYB327728 HHX327728 HRT327728 IBP327728 ILL327728 IVH327728 JFD327728 JOZ327728 JYV327728 KIR327728 KSN327728 LCJ327728 LMF327728 LWB327728 MFX327728 MPT327728 MZP327728 NJL327728 NTH327728 ODD327728 OMZ327728 OWV327728 PGR327728 PQN327728 QAJ327728 QKF327728 QUB327728 RDX327728 RNT327728 RXP327728 SHL327728 SRH327728 TBD327728 TKZ327728 TUV327728 UER327728 UON327728 UYJ327728 VIF327728 VSB327728 WBX327728 WLT327728 WVP327728 H393264 JD393264 SZ393264 ACV393264 AMR393264 AWN393264 BGJ393264 BQF393264 CAB393264 CJX393264 CTT393264 DDP393264 DNL393264 DXH393264 EHD393264 EQZ393264 FAV393264 FKR393264 FUN393264 GEJ393264 GOF393264 GYB393264 HHX393264 HRT393264 IBP393264 ILL393264 IVH393264 JFD393264 JOZ393264 JYV393264 KIR393264 KSN393264 LCJ393264 LMF393264 LWB393264 MFX393264 MPT393264 MZP393264 NJL393264 NTH393264 ODD393264 OMZ393264 OWV393264 PGR393264 PQN393264 QAJ393264 QKF393264 QUB393264 RDX393264 RNT393264 RXP393264 SHL393264 SRH393264 TBD393264 TKZ393264 TUV393264 UER393264 UON393264 UYJ393264 VIF393264 VSB393264 WBX393264 WLT393264 WVP393264 H458800 JD458800 SZ458800 ACV458800 AMR458800 AWN458800 BGJ458800 BQF458800 CAB458800 CJX458800 CTT458800 DDP458800 DNL458800 DXH458800 EHD458800 EQZ458800 FAV458800 FKR458800 FUN458800 GEJ458800 GOF458800 GYB458800 HHX458800 HRT458800 IBP458800 ILL458800 IVH458800 JFD458800 JOZ458800 JYV458800 KIR458800 KSN458800 LCJ458800 LMF458800 LWB458800 MFX458800 MPT458800 MZP458800 NJL458800 NTH458800 ODD458800 OMZ458800 OWV458800 PGR458800 PQN458800 QAJ458800 QKF458800 QUB458800 RDX458800 RNT458800 RXP458800 SHL458800 SRH458800 TBD458800 TKZ458800 TUV458800 UER458800 UON458800 UYJ458800 VIF458800 VSB458800 WBX458800 WLT458800 WVP458800 H524336 JD524336 SZ524336 ACV524336 AMR524336 AWN524336 BGJ524336 BQF524336 CAB524336 CJX524336 CTT524336 DDP524336 DNL524336 DXH524336 EHD524336 EQZ524336 FAV524336 FKR524336 FUN524336 GEJ524336 GOF524336 GYB524336 HHX524336 HRT524336 IBP524336 ILL524336 IVH524336 JFD524336 JOZ524336 JYV524336 KIR524336 KSN524336 LCJ524336 LMF524336 LWB524336 MFX524336 MPT524336 MZP524336 NJL524336 NTH524336 ODD524336 OMZ524336 OWV524336 PGR524336 PQN524336 QAJ524336 QKF524336 QUB524336 RDX524336 RNT524336 RXP524336 SHL524336 SRH524336 TBD524336 TKZ524336 TUV524336 UER524336 UON524336 UYJ524336 VIF524336 VSB524336 WBX524336 WLT524336 WVP524336 H589872 JD589872 SZ589872 ACV589872 AMR589872 AWN589872 BGJ589872 BQF589872 CAB589872 CJX589872 CTT589872 DDP589872 DNL589872 DXH589872 EHD589872 EQZ589872 FAV589872 FKR589872 FUN589872 GEJ589872 GOF589872 GYB589872 HHX589872 HRT589872 IBP589872 ILL589872 IVH589872 JFD589872 JOZ589872 JYV589872 KIR589872 KSN589872 LCJ589872 LMF589872 LWB589872 MFX589872 MPT589872 MZP589872 NJL589872 NTH589872 ODD589872 OMZ589872 OWV589872 PGR589872 PQN589872 QAJ589872 QKF589872 QUB589872 RDX589872 RNT589872 RXP589872 SHL589872 SRH589872 TBD589872 TKZ589872 TUV589872 UER589872 UON589872 UYJ589872 VIF589872 VSB589872 WBX589872 WLT589872 WVP589872 H655408 JD655408 SZ655408 ACV655408 AMR655408 AWN655408 BGJ655408 BQF655408 CAB655408 CJX655408 CTT655408 DDP655408 DNL655408 DXH655408 EHD655408 EQZ655408 FAV655408 FKR655408 FUN655408 GEJ655408 GOF655408 GYB655408 HHX655408 HRT655408 IBP655408 ILL655408 IVH655408 JFD655408 JOZ655408 JYV655408 KIR655408 KSN655408 LCJ655408 LMF655408 LWB655408 MFX655408 MPT655408 MZP655408 NJL655408 NTH655408 ODD655408 OMZ655408 OWV655408 PGR655408 PQN655408 QAJ655408 QKF655408 QUB655408 RDX655408 RNT655408 RXP655408 SHL655408 SRH655408 TBD655408 TKZ655408 TUV655408 UER655408 UON655408 UYJ655408 VIF655408 VSB655408 WBX655408 WLT655408 WVP655408 H720944 JD720944 SZ720944 ACV720944 AMR720944 AWN720944 BGJ720944 BQF720944 CAB720944 CJX720944 CTT720944 DDP720944 DNL720944 DXH720944 EHD720944 EQZ720944 FAV720944 FKR720944 FUN720944 GEJ720944 GOF720944 GYB720944 HHX720944 HRT720944 IBP720944 ILL720944 IVH720944 JFD720944 JOZ720944 JYV720944 KIR720944 KSN720944 LCJ720944 LMF720944 LWB720944 MFX720944 MPT720944 MZP720944 NJL720944 NTH720944 ODD720944 OMZ720944 OWV720944 PGR720944 PQN720944 QAJ720944 QKF720944 QUB720944 RDX720944 RNT720944 RXP720944 SHL720944 SRH720944 TBD720944 TKZ720944 TUV720944 UER720944 UON720944 UYJ720944 VIF720944 VSB720944 WBX720944 WLT720944 WVP720944 H786480 JD786480 SZ786480 ACV786480 AMR786480 AWN786480 BGJ786480 BQF786480 CAB786480 CJX786480 CTT786480 DDP786480 DNL786480 DXH786480 EHD786480 EQZ786480 FAV786480 FKR786480 FUN786480 GEJ786480 GOF786480 GYB786480 HHX786480 HRT786480 IBP786480 ILL786480 IVH786480 JFD786480 JOZ786480 JYV786480 KIR786480 KSN786480 LCJ786480 LMF786480 LWB786480 MFX786480 MPT786480 MZP786480 NJL786480 NTH786480 ODD786480 OMZ786480 OWV786480 PGR786480 PQN786480 QAJ786480 QKF786480 QUB786480 RDX786480 RNT786480 RXP786480 SHL786480 SRH786480 TBD786480 TKZ786480 TUV786480 UER786480 UON786480 UYJ786480 VIF786480 VSB786480 WBX786480 WLT786480 WVP786480 H852016 JD852016 SZ852016 ACV852016 AMR852016 AWN852016 BGJ852016 BQF852016 CAB852016 CJX852016 CTT852016 DDP852016 DNL852016 DXH852016 EHD852016 EQZ852016 FAV852016 FKR852016 FUN852016 GEJ852016 GOF852016 GYB852016 HHX852016 HRT852016 IBP852016 ILL852016 IVH852016 JFD852016 JOZ852016 JYV852016 KIR852016 KSN852016 LCJ852016 LMF852016 LWB852016 MFX852016 MPT852016 MZP852016 NJL852016 NTH852016 ODD852016 OMZ852016 OWV852016 PGR852016 PQN852016 QAJ852016 QKF852016 QUB852016 RDX852016 RNT852016 RXP852016 SHL852016 SRH852016 TBD852016 TKZ852016 TUV852016 UER852016 UON852016 UYJ852016 VIF852016 VSB852016 WBX852016 WLT852016 WVP852016 H917552 JD917552 SZ917552 ACV917552 AMR917552 AWN917552 BGJ917552 BQF917552 CAB917552 CJX917552 CTT917552 DDP917552 DNL917552 DXH917552 EHD917552 EQZ917552 FAV917552 FKR917552 FUN917552 GEJ917552 GOF917552 GYB917552 HHX917552 HRT917552 IBP917552 ILL917552 IVH917552 JFD917552 JOZ917552 JYV917552 KIR917552 KSN917552 LCJ917552 LMF917552 LWB917552 MFX917552 MPT917552 MZP917552 NJL917552 NTH917552 ODD917552 OMZ917552 OWV917552 PGR917552 PQN917552 QAJ917552 QKF917552 QUB917552 RDX917552 RNT917552 RXP917552 SHL917552 SRH917552 TBD917552 TKZ917552 TUV917552 UER917552 UON917552 UYJ917552 VIF917552 VSB917552 WBX917552 WLT917552 WVP917552 H983088 JD983088 SZ983088 ACV983088 AMR983088 AWN983088 BGJ983088 BQF983088 CAB983088 CJX983088 CTT983088 DDP983088 DNL983088 DXH983088 EHD983088 EQZ983088 FAV983088 FKR983088 FUN983088 GEJ983088 GOF983088 GYB983088 HHX983088 HRT983088 IBP983088 ILL983088 IVH983088 JFD983088 JOZ983088 JYV983088 KIR983088 KSN983088 LCJ983088 LMF983088 LWB983088 MFX983088 MPT983088 MZP983088 NJL983088 NTH983088 ODD983088 OMZ983088 OWV983088 PGR983088 PQN983088 QAJ983088 QKF983088 QUB983088 RDX983088 RNT983088 RXP983088 SHL983088 SRH983088 TBD983088 TKZ983088 TUV983088 UER983088 UON983088 UYJ983088 VIF983088 VSB983088 WBX983088 WLT983088 WVP983088 H65 JD65 SZ65 ACV65 AMR65 AWN65 BGJ65 BQF65 CAB65 CJX65 CTT65 DDP65 DNL65 DXH65 EHD65 EQZ65 FAV65 FKR65 FUN65 GEJ65 GOF65 GYB65 HHX65 HRT65 IBP65 ILL65 IVH65 JFD65 JOZ65 JYV65 KIR65 KSN65 LCJ65 LMF65 LWB65 MFX65 MPT65 MZP65 NJL65 NTH65 ODD65 OMZ65 OWV65 PGR65 PQN65 QAJ65 QKF65 QUB65 RDX65 RNT65 RXP65 SHL65 SRH65 TBD65 TKZ65 TUV65 UER65 UON65 UYJ65 VIF65 VSB65 WBX65 WLT65 WVP65 H65601 JD65601 SZ65601 ACV65601 AMR65601 AWN65601 BGJ65601 BQF65601 CAB65601 CJX65601 CTT65601 DDP65601 DNL65601 DXH65601 EHD65601 EQZ65601 FAV65601 FKR65601 FUN65601 GEJ65601 GOF65601 GYB65601 HHX65601 HRT65601 IBP65601 ILL65601 IVH65601 JFD65601 JOZ65601 JYV65601 KIR65601 KSN65601 LCJ65601 LMF65601 LWB65601 MFX65601 MPT65601 MZP65601 NJL65601 NTH65601 ODD65601 OMZ65601 OWV65601 PGR65601 PQN65601 QAJ65601 QKF65601 QUB65601 RDX65601 RNT65601 RXP65601 SHL65601 SRH65601 TBD65601 TKZ65601 TUV65601 UER65601 UON65601 UYJ65601 VIF65601 VSB65601 WBX65601 WLT65601 WVP65601 H131137 JD131137 SZ131137 ACV131137 AMR131137 AWN131137 BGJ131137 BQF131137 CAB131137 CJX131137 CTT131137 DDP131137 DNL131137 DXH131137 EHD131137 EQZ131137 FAV131137 FKR131137 FUN131137 GEJ131137 GOF131137 GYB131137 HHX131137 HRT131137 IBP131137 ILL131137 IVH131137 JFD131137 JOZ131137 JYV131137 KIR131137 KSN131137 LCJ131137 LMF131137 LWB131137 MFX131137 MPT131137 MZP131137 NJL131137 NTH131137 ODD131137 OMZ131137 OWV131137 PGR131137 PQN131137 QAJ131137 QKF131137 QUB131137 RDX131137 RNT131137 RXP131137 SHL131137 SRH131137 TBD131137 TKZ131137 TUV131137 UER131137 UON131137 UYJ131137 VIF131137 VSB131137 WBX131137 WLT131137 WVP131137 H196673 JD196673 SZ196673 ACV196673 AMR196673 AWN196673 BGJ196673 BQF196673 CAB196673 CJX196673 CTT196673 DDP196673 DNL196673 DXH196673 EHD196673 EQZ196673 FAV196673 FKR196673 FUN196673 GEJ196673 GOF196673 GYB196673 HHX196673 HRT196673 IBP196673 ILL196673 IVH196673 JFD196673 JOZ196673 JYV196673 KIR196673 KSN196673 LCJ196673 LMF196673 LWB196673 MFX196673 MPT196673 MZP196673 NJL196673 NTH196673 ODD196673 OMZ196673 OWV196673 PGR196673 PQN196673 QAJ196673 QKF196673 QUB196673 RDX196673 RNT196673 RXP196673 SHL196673 SRH196673 TBD196673 TKZ196673 TUV196673 UER196673 UON196673 UYJ196673 VIF196673 VSB196673 WBX196673 WLT196673 WVP196673 H262209 JD262209 SZ262209 ACV262209 AMR262209 AWN262209 BGJ262209 BQF262209 CAB262209 CJX262209 CTT262209 DDP262209 DNL262209 DXH262209 EHD262209 EQZ262209 FAV262209 FKR262209 FUN262209 GEJ262209 GOF262209 GYB262209 HHX262209 HRT262209 IBP262209 ILL262209 IVH262209 JFD262209 JOZ262209 JYV262209 KIR262209 KSN262209 LCJ262209 LMF262209 LWB262209 MFX262209 MPT262209 MZP262209 NJL262209 NTH262209 ODD262209 OMZ262209 OWV262209 PGR262209 PQN262209 QAJ262209 QKF262209 QUB262209 RDX262209 RNT262209 RXP262209 SHL262209 SRH262209 TBD262209 TKZ262209 TUV262209 UER262209 UON262209 UYJ262209 VIF262209 VSB262209 WBX262209 WLT262209 WVP262209 H327745 JD327745 SZ327745 ACV327745 AMR327745 AWN327745 BGJ327745 BQF327745 CAB327745 CJX327745 CTT327745 DDP327745 DNL327745 DXH327745 EHD327745 EQZ327745 FAV327745 FKR327745 FUN327745 GEJ327745 GOF327745 GYB327745 HHX327745 HRT327745 IBP327745 ILL327745 IVH327745 JFD327745 JOZ327745 JYV327745 KIR327745 KSN327745 LCJ327745 LMF327745 LWB327745 MFX327745 MPT327745 MZP327745 NJL327745 NTH327745 ODD327745 OMZ327745 OWV327745 PGR327745 PQN327745 QAJ327745 QKF327745 QUB327745 RDX327745 RNT327745 RXP327745 SHL327745 SRH327745 TBD327745 TKZ327745 TUV327745 UER327745 UON327745 UYJ327745 VIF327745 VSB327745 WBX327745 WLT327745 WVP327745 H393281 JD393281 SZ393281 ACV393281 AMR393281 AWN393281 BGJ393281 BQF393281 CAB393281 CJX393281 CTT393281 DDP393281 DNL393281 DXH393281 EHD393281 EQZ393281 FAV393281 FKR393281 FUN393281 GEJ393281 GOF393281 GYB393281 HHX393281 HRT393281 IBP393281 ILL393281 IVH393281 JFD393281 JOZ393281 JYV393281 KIR393281 KSN393281 LCJ393281 LMF393281 LWB393281 MFX393281 MPT393281 MZP393281 NJL393281 NTH393281 ODD393281 OMZ393281 OWV393281 PGR393281 PQN393281 QAJ393281 QKF393281 QUB393281 RDX393281 RNT393281 RXP393281 SHL393281 SRH393281 TBD393281 TKZ393281 TUV393281 UER393281 UON393281 UYJ393281 VIF393281 VSB393281 WBX393281 WLT393281 WVP393281 H458817 JD458817 SZ458817 ACV458817 AMR458817 AWN458817 BGJ458817 BQF458817 CAB458817 CJX458817 CTT458817 DDP458817 DNL458817 DXH458817 EHD458817 EQZ458817 FAV458817 FKR458817 FUN458817 GEJ458817 GOF458817 GYB458817 HHX458817 HRT458817 IBP458817 ILL458817 IVH458817 JFD458817 JOZ458817 JYV458817 KIR458817 KSN458817 LCJ458817 LMF458817 LWB458817 MFX458817 MPT458817 MZP458817 NJL458817 NTH458817 ODD458817 OMZ458817 OWV458817 PGR458817 PQN458817 QAJ458817 QKF458817 QUB458817 RDX458817 RNT458817 RXP458817 SHL458817 SRH458817 TBD458817 TKZ458817 TUV458817 UER458817 UON458817 UYJ458817 VIF458817 VSB458817 WBX458817 WLT458817 WVP458817 H524353 JD524353 SZ524353 ACV524353 AMR524353 AWN524353 BGJ524353 BQF524353 CAB524353 CJX524353 CTT524353 DDP524353 DNL524353 DXH524353 EHD524353 EQZ524353 FAV524353 FKR524353 FUN524353 GEJ524353 GOF524353 GYB524353 HHX524353 HRT524353 IBP524353 ILL524353 IVH524353 JFD524353 JOZ524353 JYV524353 KIR524353 KSN524353 LCJ524353 LMF524353 LWB524353 MFX524353 MPT524353 MZP524353 NJL524353 NTH524353 ODD524353 OMZ524353 OWV524353 PGR524353 PQN524353 QAJ524353 QKF524353 QUB524353 RDX524353 RNT524353 RXP524353 SHL524353 SRH524353 TBD524353 TKZ524353 TUV524353 UER524353 UON524353 UYJ524353 VIF524353 VSB524353 WBX524353 WLT524353 WVP524353 H589889 JD589889 SZ589889 ACV589889 AMR589889 AWN589889 BGJ589889 BQF589889 CAB589889 CJX589889 CTT589889 DDP589889 DNL589889 DXH589889 EHD589889 EQZ589889 FAV589889 FKR589889 FUN589889 GEJ589889 GOF589889 GYB589889 HHX589889 HRT589889 IBP589889 ILL589889 IVH589889 JFD589889 JOZ589889 JYV589889 KIR589889 KSN589889 LCJ589889 LMF589889 LWB589889 MFX589889 MPT589889 MZP589889 NJL589889 NTH589889 ODD589889 OMZ589889 OWV589889 PGR589889 PQN589889 QAJ589889 QKF589889 QUB589889 RDX589889 RNT589889 RXP589889 SHL589889 SRH589889 TBD589889 TKZ589889 TUV589889 UER589889 UON589889 UYJ589889 VIF589889 VSB589889 WBX589889 WLT589889 WVP589889 H655425 JD655425 SZ655425 ACV655425 AMR655425 AWN655425 BGJ655425 BQF655425 CAB655425 CJX655425 CTT655425 DDP655425 DNL655425 DXH655425 EHD655425 EQZ655425 FAV655425 FKR655425 FUN655425 GEJ655425 GOF655425 GYB655425 HHX655425 HRT655425 IBP655425 ILL655425 IVH655425 JFD655425 JOZ655425 JYV655425 KIR655425 KSN655425 LCJ655425 LMF655425 LWB655425 MFX655425 MPT655425 MZP655425 NJL655425 NTH655425 ODD655425 OMZ655425 OWV655425 PGR655425 PQN655425 QAJ655425 QKF655425 QUB655425 RDX655425 RNT655425 RXP655425 SHL655425 SRH655425 TBD655425 TKZ655425 TUV655425 UER655425 UON655425 UYJ655425 VIF655425 VSB655425 WBX655425 WLT655425 WVP655425 H720961 JD720961 SZ720961 ACV720961 AMR720961 AWN720961 BGJ720961 BQF720961 CAB720961 CJX720961 CTT720961 DDP720961 DNL720961 DXH720961 EHD720961 EQZ720961 FAV720961 FKR720961 FUN720961 GEJ720961 GOF720961 GYB720961 HHX720961 HRT720961 IBP720961 ILL720961 IVH720961 JFD720961 JOZ720961 JYV720961 KIR720961 KSN720961 LCJ720961 LMF720961 LWB720961 MFX720961 MPT720961 MZP720961 NJL720961 NTH720961 ODD720961 OMZ720961 OWV720961 PGR720961 PQN720961 QAJ720961 QKF720961 QUB720961 RDX720961 RNT720961 RXP720961 SHL720961 SRH720961 TBD720961 TKZ720961 TUV720961 UER720961 UON720961 UYJ720961 VIF720961 VSB720961 WBX720961 WLT720961 WVP720961 H786497 JD786497 SZ786497 ACV786497 AMR786497 AWN786497 BGJ786497 BQF786497 CAB786497 CJX786497 CTT786497 DDP786497 DNL786497 DXH786497 EHD786497 EQZ786497 FAV786497 FKR786497 FUN786497 GEJ786497 GOF786497 GYB786497 HHX786497 HRT786497 IBP786497 ILL786497 IVH786497 JFD786497 JOZ786497 JYV786497 KIR786497 KSN786497 LCJ786497 LMF786497 LWB786497 MFX786497 MPT786497 MZP786497 NJL786497 NTH786497 ODD786497 OMZ786497 OWV786497 PGR786497 PQN786497 QAJ786497 QKF786497 QUB786497 RDX786497 RNT786497 RXP786497 SHL786497 SRH786497 TBD786497 TKZ786497 TUV786497 UER786497 UON786497 UYJ786497 VIF786497 VSB786497 WBX786497 WLT786497 WVP786497 H852033 JD852033 SZ852033 ACV852033 AMR852033 AWN852033 BGJ852033 BQF852033 CAB852033 CJX852033 CTT852033 DDP852033 DNL852033 DXH852033 EHD852033 EQZ852033 FAV852033 FKR852033 FUN852033 GEJ852033 GOF852033 GYB852033 HHX852033 HRT852033 IBP852033 ILL852033 IVH852033 JFD852033 JOZ852033 JYV852033 KIR852033 KSN852033 LCJ852033 LMF852033 LWB852033 MFX852033 MPT852033 MZP852033 NJL852033 NTH852033 ODD852033 OMZ852033 OWV852033 PGR852033 PQN852033 QAJ852033 QKF852033 QUB852033 RDX852033 RNT852033 RXP852033 SHL852033 SRH852033 TBD852033 TKZ852033 TUV852033 UER852033 UON852033 UYJ852033 VIF852033 VSB852033 WBX852033 WLT852033 WVP852033 H917569 JD917569 SZ917569 ACV917569 AMR917569 AWN917569 BGJ917569 BQF917569 CAB917569 CJX917569 CTT917569 DDP917569 DNL917569 DXH917569 EHD917569 EQZ917569 FAV917569 FKR917569 FUN917569 GEJ917569 GOF917569 GYB917569 HHX917569 HRT917569 IBP917569 ILL917569 IVH917569 JFD917569 JOZ917569 JYV917569 KIR917569 KSN917569 LCJ917569 LMF917569 LWB917569 MFX917569 MPT917569 MZP917569 NJL917569 NTH917569 ODD917569 OMZ917569 OWV917569 PGR917569 PQN917569 QAJ917569 QKF917569 QUB917569 RDX917569 RNT917569 RXP917569 SHL917569 SRH917569 TBD917569 TKZ917569 TUV917569 UER917569 UON917569 UYJ917569 VIF917569 VSB917569 WBX917569 WLT917569 WVP917569 H983105 JD983105 SZ983105 ACV983105 AMR983105 AWN983105 BGJ983105 BQF983105 CAB983105 CJX983105 CTT983105 DDP983105 DNL983105 DXH983105 EHD983105 EQZ983105 FAV983105 FKR983105 FUN983105 GEJ983105 GOF983105 GYB983105 HHX983105 HRT983105 IBP983105 ILL983105 IVH983105 JFD983105 JOZ983105 JYV983105 KIR983105 KSN983105 LCJ983105 LMF983105 LWB983105 MFX983105 MPT983105 MZP983105 NJL983105 NTH983105 ODD983105 OMZ983105 OWV983105 PGR983105 PQN983105 QAJ983105 QKF983105 QUB983105 RDX983105 RNT983105 RXP983105 SHL983105 SRH983105 TBD983105 TKZ983105 TUV983105 UER983105 UON983105 UYJ983105 VIF983105 VSB983105 WBX983105 WLT983105 WVP983105" xr:uid="{6CEBAAAA-0767-42FB-91D9-8449E2783F21}">
      <formula1>PASS_FAIL2</formula1>
    </dataValidation>
    <dataValidation type="list" allowBlank="1" showInputMessage="1" showErrorMessage="1" sqref="D29 IZ29 SV29 ACR29 AMN29 AWJ29 BGF29 BQB29 BZX29 CJT29 CTP29 DDL29 DNH29 DXD29 EGZ29 EQV29 FAR29 FKN29 FUJ29 GEF29 GOB29 GXX29 HHT29 HRP29 IBL29 ILH29 IVD29 JEZ29 JOV29 JYR29 KIN29 KSJ29 LCF29 LMB29 LVX29 MFT29 MPP29 MZL29 NJH29 NTD29 OCZ29 OMV29 OWR29 PGN29 PQJ29 QAF29 QKB29 QTX29 RDT29 RNP29 RXL29 SHH29 SRD29 TAZ29 TKV29 TUR29 UEN29 UOJ29 UYF29 VIB29 VRX29 WBT29 WLP29 WVL29 D65565 IZ65565 SV65565 ACR65565 AMN65565 AWJ65565 BGF65565 BQB65565 BZX65565 CJT65565 CTP65565 DDL65565 DNH65565 DXD65565 EGZ65565 EQV65565 FAR65565 FKN65565 FUJ65565 GEF65565 GOB65565 GXX65565 HHT65565 HRP65565 IBL65565 ILH65565 IVD65565 JEZ65565 JOV65565 JYR65565 KIN65565 KSJ65565 LCF65565 LMB65565 LVX65565 MFT65565 MPP65565 MZL65565 NJH65565 NTD65565 OCZ65565 OMV65565 OWR65565 PGN65565 PQJ65565 QAF65565 QKB65565 QTX65565 RDT65565 RNP65565 RXL65565 SHH65565 SRD65565 TAZ65565 TKV65565 TUR65565 UEN65565 UOJ65565 UYF65565 VIB65565 VRX65565 WBT65565 WLP65565 WVL65565 D131101 IZ131101 SV131101 ACR131101 AMN131101 AWJ131101 BGF131101 BQB131101 BZX131101 CJT131101 CTP131101 DDL131101 DNH131101 DXD131101 EGZ131101 EQV131101 FAR131101 FKN131101 FUJ131101 GEF131101 GOB131101 GXX131101 HHT131101 HRP131101 IBL131101 ILH131101 IVD131101 JEZ131101 JOV131101 JYR131101 KIN131101 KSJ131101 LCF131101 LMB131101 LVX131101 MFT131101 MPP131101 MZL131101 NJH131101 NTD131101 OCZ131101 OMV131101 OWR131101 PGN131101 PQJ131101 QAF131101 QKB131101 QTX131101 RDT131101 RNP131101 RXL131101 SHH131101 SRD131101 TAZ131101 TKV131101 TUR131101 UEN131101 UOJ131101 UYF131101 VIB131101 VRX131101 WBT131101 WLP131101 WVL131101 D196637 IZ196637 SV196637 ACR196637 AMN196637 AWJ196637 BGF196637 BQB196637 BZX196637 CJT196637 CTP196637 DDL196637 DNH196637 DXD196637 EGZ196637 EQV196637 FAR196637 FKN196637 FUJ196637 GEF196637 GOB196637 GXX196637 HHT196637 HRP196637 IBL196637 ILH196637 IVD196637 JEZ196637 JOV196637 JYR196637 KIN196637 KSJ196637 LCF196637 LMB196637 LVX196637 MFT196637 MPP196637 MZL196637 NJH196637 NTD196637 OCZ196637 OMV196637 OWR196637 PGN196637 PQJ196637 QAF196637 QKB196637 QTX196637 RDT196637 RNP196637 RXL196637 SHH196637 SRD196637 TAZ196637 TKV196637 TUR196637 UEN196637 UOJ196637 UYF196637 VIB196637 VRX196637 WBT196637 WLP196637 WVL196637 D262173 IZ262173 SV262173 ACR262173 AMN262173 AWJ262173 BGF262173 BQB262173 BZX262173 CJT262173 CTP262173 DDL262173 DNH262173 DXD262173 EGZ262173 EQV262173 FAR262173 FKN262173 FUJ262173 GEF262173 GOB262173 GXX262173 HHT262173 HRP262173 IBL262173 ILH262173 IVD262173 JEZ262173 JOV262173 JYR262173 KIN262173 KSJ262173 LCF262173 LMB262173 LVX262173 MFT262173 MPP262173 MZL262173 NJH262173 NTD262173 OCZ262173 OMV262173 OWR262173 PGN262173 PQJ262173 QAF262173 QKB262173 QTX262173 RDT262173 RNP262173 RXL262173 SHH262173 SRD262173 TAZ262173 TKV262173 TUR262173 UEN262173 UOJ262173 UYF262173 VIB262173 VRX262173 WBT262173 WLP262173 WVL262173 D327709 IZ327709 SV327709 ACR327709 AMN327709 AWJ327709 BGF327709 BQB327709 BZX327709 CJT327709 CTP327709 DDL327709 DNH327709 DXD327709 EGZ327709 EQV327709 FAR327709 FKN327709 FUJ327709 GEF327709 GOB327709 GXX327709 HHT327709 HRP327709 IBL327709 ILH327709 IVD327709 JEZ327709 JOV327709 JYR327709 KIN327709 KSJ327709 LCF327709 LMB327709 LVX327709 MFT327709 MPP327709 MZL327709 NJH327709 NTD327709 OCZ327709 OMV327709 OWR327709 PGN327709 PQJ327709 QAF327709 QKB327709 QTX327709 RDT327709 RNP327709 RXL327709 SHH327709 SRD327709 TAZ327709 TKV327709 TUR327709 UEN327709 UOJ327709 UYF327709 VIB327709 VRX327709 WBT327709 WLP327709 WVL327709 D393245 IZ393245 SV393245 ACR393245 AMN393245 AWJ393245 BGF393245 BQB393245 BZX393245 CJT393245 CTP393245 DDL393245 DNH393245 DXD393245 EGZ393245 EQV393245 FAR393245 FKN393245 FUJ393245 GEF393245 GOB393245 GXX393245 HHT393245 HRP393245 IBL393245 ILH393245 IVD393245 JEZ393245 JOV393245 JYR393245 KIN393245 KSJ393245 LCF393245 LMB393245 LVX393245 MFT393245 MPP393245 MZL393245 NJH393245 NTD393245 OCZ393245 OMV393245 OWR393245 PGN393245 PQJ393245 QAF393245 QKB393245 QTX393245 RDT393245 RNP393245 RXL393245 SHH393245 SRD393245 TAZ393245 TKV393245 TUR393245 UEN393245 UOJ393245 UYF393245 VIB393245 VRX393245 WBT393245 WLP393245 WVL393245 D458781 IZ458781 SV458781 ACR458781 AMN458781 AWJ458781 BGF458781 BQB458781 BZX458781 CJT458781 CTP458781 DDL458781 DNH458781 DXD458781 EGZ458781 EQV458781 FAR458781 FKN458781 FUJ458781 GEF458781 GOB458781 GXX458781 HHT458781 HRP458781 IBL458781 ILH458781 IVD458781 JEZ458781 JOV458781 JYR458781 KIN458781 KSJ458781 LCF458781 LMB458781 LVX458781 MFT458781 MPP458781 MZL458781 NJH458781 NTD458781 OCZ458781 OMV458781 OWR458781 PGN458781 PQJ458781 QAF458781 QKB458781 QTX458781 RDT458781 RNP458781 RXL458781 SHH458781 SRD458781 TAZ458781 TKV458781 TUR458781 UEN458781 UOJ458781 UYF458781 VIB458781 VRX458781 WBT458781 WLP458781 WVL458781 D524317 IZ524317 SV524317 ACR524317 AMN524317 AWJ524317 BGF524317 BQB524317 BZX524317 CJT524317 CTP524317 DDL524317 DNH524317 DXD524317 EGZ524317 EQV524317 FAR524317 FKN524317 FUJ524317 GEF524317 GOB524317 GXX524317 HHT524317 HRP524317 IBL524317 ILH524317 IVD524317 JEZ524317 JOV524317 JYR524317 KIN524317 KSJ524317 LCF524317 LMB524317 LVX524317 MFT524317 MPP524317 MZL524317 NJH524317 NTD524317 OCZ524317 OMV524317 OWR524317 PGN524317 PQJ524317 QAF524317 QKB524317 QTX524317 RDT524317 RNP524317 RXL524317 SHH524317 SRD524317 TAZ524317 TKV524317 TUR524317 UEN524317 UOJ524317 UYF524317 VIB524317 VRX524317 WBT524317 WLP524317 WVL524317 D589853 IZ589853 SV589853 ACR589853 AMN589853 AWJ589853 BGF589853 BQB589853 BZX589853 CJT589853 CTP589853 DDL589853 DNH589853 DXD589853 EGZ589853 EQV589853 FAR589853 FKN589853 FUJ589853 GEF589853 GOB589853 GXX589853 HHT589853 HRP589853 IBL589853 ILH589853 IVD589853 JEZ589853 JOV589853 JYR589853 KIN589853 KSJ589853 LCF589853 LMB589853 LVX589853 MFT589853 MPP589853 MZL589853 NJH589853 NTD589853 OCZ589853 OMV589853 OWR589853 PGN589853 PQJ589853 QAF589853 QKB589853 QTX589853 RDT589853 RNP589853 RXL589853 SHH589853 SRD589853 TAZ589853 TKV589853 TUR589853 UEN589853 UOJ589853 UYF589853 VIB589853 VRX589853 WBT589853 WLP589853 WVL589853 D655389 IZ655389 SV655389 ACR655389 AMN655389 AWJ655389 BGF655389 BQB655389 BZX655389 CJT655389 CTP655389 DDL655389 DNH655389 DXD655389 EGZ655389 EQV655389 FAR655389 FKN655389 FUJ655389 GEF655389 GOB655389 GXX655389 HHT655389 HRP655389 IBL655389 ILH655389 IVD655389 JEZ655389 JOV655389 JYR655389 KIN655389 KSJ655389 LCF655389 LMB655389 LVX655389 MFT655389 MPP655389 MZL655389 NJH655389 NTD655389 OCZ655389 OMV655389 OWR655389 PGN655389 PQJ655389 QAF655389 QKB655389 QTX655389 RDT655389 RNP655389 RXL655389 SHH655389 SRD655389 TAZ655389 TKV655389 TUR655389 UEN655389 UOJ655389 UYF655389 VIB655389 VRX655389 WBT655389 WLP655389 WVL655389 D720925 IZ720925 SV720925 ACR720925 AMN720925 AWJ720925 BGF720925 BQB720925 BZX720925 CJT720925 CTP720925 DDL720925 DNH720925 DXD720925 EGZ720925 EQV720925 FAR720925 FKN720925 FUJ720925 GEF720925 GOB720925 GXX720925 HHT720925 HRP720925 IBL720925 ILH720925 IVD720925 JEZ720925 JOV720925 JYR720925 KIN720925 KSJ720925 LCF720925 LMB720925 LVX720925 MFT720925 MPP720925 MZL720925 NJH720925 NTD720925 OCZ720925 OMV720925 OWR720925 PGN720925 PQJ720925 QAF720925 QKB720925 QTX720925 RDT720925 RNP720925 RXL720925 SHH720925 SRD720925 TAZ720925 TKV720925 TUR720925 UEN720925 UOJ720925 UYF720925 VIB720925 VRX720925 WBT720925 WLP720925 WVL720925 D786461 IZ786461 SV786461 ACR786461 AMN786461 AWJ786461 BGF786461 BQB786461 BZX786461 CJT786461 CTP786461 DDL786461 DNH786461 DXD786461 EGZ786461 EQV786461 FAR786461 FKN786461 FUJ786461 GEF786461 GOB786461 GXX786461 HHT786461 HRP786461 IBL786461 ILH786461 IVD786461 JEZ786461 JOV786461 JYR786461 KIN786461 KSJ786461 LCF786461 LMB786461 LVX786461 MFT786461 MPP786461 MZL786461 NJH786461 NTD786461 OCZ786461 OMV786461 OWR786461 PGN786461 PQJ786461 QAF786461 QKB786461 QTX786461 RDT786461 RNP786461 RXL786461 SHH786461 SRD786461 TAZ786461 TKV786461 TUR786461 UEN786461 UOJ786461 UYF786461 VIB786461 VRX786461 WBT786461 WLP786461 WVL786461 D851997 IZ851997 SV851997 ACR851997 AMN851997 AWJ851997 BGF851997 BQB851997 BZX851997 CJT851997 CTP851997 DDL851997 DNH851997 DXD851997 EGZ851997 EQV851997 FAR851997 FKN851997 FUJ851997 GEF851997 GOB851997 GXX851997 HHT851997 HRP851997 IBL851997 ILH851997 IVD851997 JEZ851997 JOV851997 JYR851997 KIN851997 KSJ851997 LCF851997 LMB851997 LVX851997 MFT851997 MPP851997 MZL851997 NJH851997 NTD851997 OCZ851997 OMV851997 OWR851997 PGN851997 PQJ851997 QAF851997 QKB851997 QTX851997 RDT851997 RNP851997 RXL851997 SHH851997 SRD851997 TAZ851997 TKV851997 TUR851997 UEN851997 UOJ851997 UYF851997 VIB851997 VRX851997 WBT851997 WLP851997 WVL851997 D917533 IZ917533 SV917533 ACR917533 AMN917533 AWJ917533 BGF917533 BQB917533 BZX917533 CJT917533 CTP917533 DDL917533 DNH917533 DXD917533 EGZ917533 EQV917533 FAR917533 FKN917533 FUJ917533 GEF917533 GOB917533 GXX917533 HHT917533 HRP917533 IBL917533 ILH917533 IVD917533 JEZ917533 JOV917533 JYR917533 KIN917533 KSJ917533 LCF917533 LMB917533 LVX917533 MFT917533 MPP917533 MZL917533 NJH917533 NTD917533 OCZ917533 OMV917533 OWR917533 PGN917533 PQJ917533 QAF917533 QKB917533 QTX917533 RDT917533 RNP917533 RXL917533 SHH917533 SRD917533 TAZ917533 TKV917533 TUR917533 UEN917533 UOJ917533 UYF917533 VIB917533 VRX917533 WBT917533 WLP917533 WVL917533 D983069 IZ983069 SV983069 ACR983069 AMN983069 AWJ983069 BGF983069 BQB983069 BZX983069 CJT983069 CTP983069 DDL983069 DNH983069 DXD983069 EGZ983069 EQV983069 FAR983069 FKN983069 FUJ983069 GEF983069 GOB983069 GXX983069 HHT983069 HRP983069 IBL983069 ILH983069 IVD983069 JEZ983069 JOV983069 JYR983069 KIN983069 KSJ983069 LCF983069 LMB983069 LVX983069 MFT983069 MPP983069 MZL983069 NJH983069 NTD983069 OCZ983069 OMV983069 OWR983069 PGN983069 PQJ983069 QAF983069 QKB983069 QTX983069 RDT983069 RNP983069 RXL983069 SHH983069 SRD983069 TAZ983069 TKV983069 TUR983069 UEN983069 UOJ983069 UYF983069 VIB983069 VRX983069 WBT983069 WLP983069 WVL983069 D45 IZ45 SV45 ACR45 AMN45 AWJ45 BGF45 BQB45 BZX45 CJT45 CTP45 DDL45 DNH45 DXD45 EGZ45 EQV45 FAR45 FKN45 FUJ45 GEF45 GOB45 GXX45 HHT45 HRP45 IBL45 ILH45 IVD45 JEZ45 JOV45 JYR45 KIN45 KSJ45 LCF45 LMB45 LVX45 MFT45 MPP45 MZL45 NJH45 NTD45 OCZ45 OMV45 OWR45 PGN45 PQJ45 QAF45 QKB45 QTX45 RDT45 RNP45 RXL45 SHH45 SRD45 TAZ45 TKV45 TUR45 UEN45 UOJ45 UYF45 VIB45 VRX45 WBT45 WLP45 WVL45 D65581 IZ65581 SV65581 ACR65581 AMN65581 AWJ65581 BGF65581 BQB65581 BZX65581 CJT65581 CTP65581 DDL65581 DNH65581 DXD65581 EGZ65581 EQV65581 FAR65581 FKN65581 FUJ65581 GEF65581 GOB65581 GXX65581 HHT65581 HRP65581 IBL65581 ILH65581 IVD65581 JEZ65581 JOV65581 JYR65581 KIN65581 KSJ65581 LCF65581 LMB65581 LVX65581 MFT65581 MPP65581 MZL65581 NJH65581 NTD65581 OCZ65581 OMV65581 OWR65581 PGN65581 PQJ65581 QAF65581 QKB65581 QTX65581 RDT65581 RNP65581 RXL65581 SHH65581 SRD65581 TAZ65581 TKV65581 TUR65581 UEN65581 UOJ65581 UYF65581 VIB65581 VRX65581 WBT65581 WLP65581 WVL65581 D131117 IZ131117 SV131117 ACR131117 AMN131117 AWJ131117 BGF131117 BQB131117 BZX131117 CJT131117 CTP131117 DDL131117 DNH131117 DXD131117 EGZ131117 EQV131117 FAR131117 FKN131117 FUJ131117 GEF131117 GOB131117 GXX131117 HHT131117 HRP131117 IBL131117 ILH131117 IVD131117 JEZ131117 JOV131117 JYR131117 KIN131117 KSJ131117 LCF131117 LMB131117 LVX131117 MFT131117 MPP131117 MZL131117 NJH131117 NTD131117 OCZ131117 OMV131117 OWR131117 PGN131117 PQJ131117 QAF131117 QKB131117 QTX131117 RDT131117 RNP131117 RXL131117 SHH131117 SRD131117 TAZ131117 TKV131117 TUR131117 UEN131117 UOJ131117 UYF131117 VIB131117 VRX131117 WBT131117 WLP131117 WVL131117 D196653 IZ196653 SV196653 ACR196653 AMN196653 AWJ196653 BGF196653 BQB196653 BZX196653 CJT196653 CTP196653 DDL196653 DNH196653 DXD196653 EGZ196653 EQV196653 FAR196653 FKN196653 FUJ196653 GEF196653 GOB196653 GXX196653 HHT196653 HRP196653 IBL196653 ILH196653 IVD196653 JEZ196653 JOV196653 JYR196653 KIN196653 KSJ196653 LCF196653 LMB196653 LVX196653 MFT196653 MPP196653 MZL196653 NJH196653 NTD196653 OCZ196653 OMV196653 OWR196653 PGN196653 PQJ196653 QAF196653 QKB196653 QTX196653 RDT196653 RNP196653 RXL196653 SHH196653 SRD196653 TAZ196653 TKV196653 TUR196653 UEN196653 UOJ196653 UYF196653 VIB196653 VRX196653 WBT196653 WLP196653 WVL196653 D262189 IZ262189 SV262189 ACR262189 AMN262189 AWJ262189 BGF262189 BQB262189 BZX262189 CJT262189 CTP262189 DDL262189 DNH262189 DXD262189 EGZ262189 EQV262189 FAR262189 FKN262189 FUJ262189 GEF262189 GOB262189 GXX262189 HHT262189 HRP262189 IBL262189 ILH262189 IVD262189 JEZ262189 JOV262189 JYR262189 KIN262189 KSJ262189 LCF262189 LMB262189 LVX262189 MFT262189 MPP262189 MZL262189 NJH262189 NTD262189 OCZ262189 OMV262189 OWR262189 PGN262189 PQJ262189 QAF262189 QKB262189 QTX262189 RDT262189 RNP262189 RXL262189 SHH262189 SRD262189 TAZ262189 TKV262189 TUR262189 UEN262189 UOJ262189 UYF262189 VIB262189 VRX262189 WBT262189 WLP262189 WVL262189 D327725 IZ327725 SV327725 ACR327725 AMN327725 AWJ327725 BGF327725 BQB327725 BZX327725 CJT327725 CTP327725 DDL327725 DNH327725 DXD327725 EGZ327725 EQV327725 FAR327725 FKN327725 FUJ327725 GEF327725 GOB327725 GXX327725 HHT327725 HRP327725 IBL327725 ILH327725 IVD327725 JEZ327725 JOV327725 JYR327725 KIN327725 KSJ327725 LCF327725 LMB327725 LVX327725 MFT327725 MPP327725 MZL327725 NJH327725 NTD327725 OCZ327725 OMV327725 OWR327725 PGN327725 PQJ327725 QAF327725 QKB327725 QTX327725 RDT327725 RNP327725 RXL327725 SHH327725 SRD327725 TAZ327725 TKV327725 TUR327725 UEN327725 UOJ327725 UYF327725 VIB327725 VRX327725 WBT327725 WLP327725 WVL327725 D393261 IZ393261 SV393261 ACR393261 AMN393261 AWJ393261 BGF393261 BQB393261 BZX393261 CJT393261 CTP393261 DDL393261 DNH393261 DXD393261 EGZ393261 EQV393261 FAR393261 FKN393261 FUJ393261 GEF393261 GOB393261 GXX393261 HHT393261 HRP393261 IBL393261 ILH393261 IVD393261 JEZ393261 JOV393261 JYR393261 KIN393261 KSJ393261 LCF393261 LMB393261 LVX393261 MFT393261 MPP393261 MZL393261 NJH393261 NTD393261 OCZ393261 OMV393261 OWR393261 PGN393261 PQJ393261 QAF393261 QKB393261 QTX393261 RDT393261 RNP393261 RXL393261 SHH393261 SRD393261 TAZ393261 TKV393261 TUR393261 UEN393261 UOJ393261 UYF393261 VIB393261 VRX393261 WBT393261 WLP393261 WVL393261 D458797 IZ458797 SV458797 ACR458797 AMN458797 AWJ458797 BGF458797 BQB458797 BZX458797 CJT458797 CTP458797 DDL458797 DNH458797 DXD458797 EGZ458797 EQV458797 FAR458797 FKN458797 FUJ458797 GEF458797 GOB458797 GXX458797 HHT458797 HRP458797 IBL458797 ILH458797 IVD458797 JEZ458797 JOV458797 JYR458797 KIN458797 KSJ458797 LCF458797 LMB458797 LVX458797 MFT458797 MPP458797 MZL458797 NJH458797 NTD458797 OCZ458797 OMV458797 OWR458797 PGN458797 PQJ458797 QAF458797 QKB458797 QTX458797 RDT458797 RNP458797 RXL458797 SHH458797 SRD458797 TAZ458797 TKV458797 TUR458797 UEN458797 UOJ458797 UYF458797 VIB458797 VRX458797 WBT458797 WLP458797 WVL458797 D524333 IZ524333 SV524333 ACR524333 AMN524333 AWJ524333 BGF524333 BQB524333 BZX524333 CJT524333 CTP524333 DDL524333 DNH524333 DXD524333 EGZ524333 EQV524333 FAR524333 FKN524333 FUJ524333 GEF524333 GOB524333 GXX524333 HHT524333 HRP524333 IBL524333 ILH524333 IVD524333 JEZ524333 JOV524333 JYR524333 KIN524333 KSJ524333 LCF524333 LMB524333 LVX524333 MFT524333 MPP524333 MZL524333 NJH524333 NTD524333 OCZ524333 OMV524333 OWR524333 PGN524333 PQJ524333 QAF524333 QKB524333 QTX524333 RDT524333 RNP524333 RXL524333 SHH524333 SRD524333 TAZ524333 TKV524333 TUR524333 UEN524333 UOJ524333 UYF524333 VIB524333 VRX524333 WBT524333 WLP524333 WVL524333 D589869 IZ589869 SV589869 ACR589869 AMN589869 AWJ589869 BGF589869 BQB589869 BZX589869 CJT589869 CTP589869 DDL589869 DNH589869 DXD589869 EGZ589869 EQV589869 FAR589869 FKN589869 FUJ589869 GEF589869 GOB589869 GXX589869 HHT589869 HRP589869 IBL589869 ILH589869 IVD589869 JEZ589869 JOV589869 JYR589869 KIN589869 KSJ589869 LCF589869 LMB589869 LVX589869 MFT589869 MPP589869 MZL589869 NJH589869 NTD589869 OCZ589869 OMV589869 OWR589869 PGN589869 PQJ589869 QAF589869 QKB589869 QTX589869 RDT589869 RNP589869 RXL589869 SHH589869 SRD589869 TAZ589869 TKV589869 TUR589869 UEN589869 UOJ589869 UYF589869 VIB589869 VRX589869 WBT589869 WLP589869 WVL589869 D655405 IZ655405 SV655405 ACR655405 AMN655405 AWJ655405 BGF655405 BQB655405 BZX655405 CJT655405 CTP655405 DDL655405 DNH655405 DXD655405 EGZ655405 EQV655405 FAR655405 FKN655405 FUJ655405 GEF655405 GOB655405 GXX655405 HHT655405 HRP655405 IBL655405 ILH655405 IVD655405 JEZ655405 JOV655405 JYR655405 KIN655405 KSJ655405 LCF655405 LMB655405 LVX655405 MFT655405 MPP655405 MZL655405 NJH655405 NTD655405 OCZ655405 OMV655405 OWR655405 PGN655405 PQJ655405 QAF655405 QKB655405 QTX655405 RDT655405 RNP655405 RXL655405 SHH655405 SRD655405 TAZ655405 TKV655405 TUR655405 UEN655405 UOJ655405 UYF655405 VIB655405 VRX655405 WBT655405 WLP655405 WVL655405 D720941 IZ720941 SV720941 ACR720941 AMN720941 AWJ720941 BGF720941 BQB720941 BZX720941 CJT720941 CTP720941 DDL720941 DNH720941 DXD720941 EGZ720941 EQV720941 FAR720941 FKN720941 FUJ720941 GEF720941 GOB720941 GXX720941 HHT720941 HRP720941 IBL720941 ILH720941 IVD720941 JEZ720941 JOV720941 JYR720941 KIN720941 KSJ720941 LCF720941 LMB720941 LVX720941 MFT720941 MPP720941 MZL720941 NJH720941 NTD720941 OCZ720941 OMV720941 OWR720941 PGN720941 PQJ720941 QAF720941 QKB720941 QTX720941 RDT720941 RNP720941 RXL720941 SHH720941 SRD720941 TAZ720941 TKV720941 TUR720941 UEN720941 UOJ720941 UYF720941 VIB720941 VRX720941 WBT720941 WLP720941 WVL720941 D786477 IZ786477 SV786477 ACR786477 AMN786477 AWJ786477 BGF786477 BQB786477 BZX786477 CJT786477 CTP786477 DDL786477 DNH786477 DXD786477 EGZ786477 EQV786477 FAR786477 FKN786477 FUJ786477 GEF786477 GOB786477 GXX786477 HHT786477 HRP786477 IBL786477 ILH786477 IVD786477 JEZ786477 JOV786477 JYR786477 KIN786477 KSJ786477 LCF786477 LMB786477 LVX786477 MFT786477 MPP786477 MZL786477 NJH786477 NTD786477 OCZ786477 OMV786477 OWR786477 PGN786477 PQJ786477 QAF786477 QKB786477 QTX786477 RDT786477 RNP786477 RXL786477 SHH786477 SRD786477 TAZ786477 TKV786477 TUR786477 UEN786477 UOJ786477 UYF786477 VIB786477 VRX786477 WBT786477 WLP786477 WVL786477 D852013 IZ852013 SV852013 ACR852013 AMN852013 AWJ852013 BGF852013 BQB852013 BZX852013 CJT852013 CTP852013 DDL852013 DNH852013 DXD852013 EGZ852013 EQV852013 FAR852013 FKN852013 FUJ852013 GEF852013 GOB852013 GXX852013 HHT852013 HRP852013 IBL852013 ILH852013 IVD852013 JEZ852013 JOV852013 JYR852013 KIN852013 KSJ852013 LCF852013 LMB852013 LVX852013 MFT852013 MPP852013 MZL852013 NJH852013 NTD852013 OCZ852013 OMV852013 OWR852013 PGN852013 PQJ852013 QAF852013 QKB852013 QTX852013 RDT852013 RNP852013 RXL852013 SHH852013 SRD852013 TAZ852013 TKV852013 TUR852013 UEN852013 UOJ852013 UYF852013 VIB852013 VRX852013 WBT852013 WLP852013 WVL852013 D917549 IZ917549 SV917549 ACR917549 AMN917549 AWJ917549 BGF917549 BQB917549 BZX917549 CJT917549 CTP917549 DDL917549 DNH917549 DXD917549 EGZ917549 EQV917549 FAR917549 FKN917549 FUJ917549 GEF917549 GOB917549 GXX917549 HHT917549 HRP917549 IBL917549 ILH917549 IVD917549 JEZ917549 JOV917549 JYR917549 KIN917549 KSJ917549 LCF917549 LMB917549 LVX917549 MFT917549 MPP917549 MZL917549 NJH917549 NTD917549 OCZ917549 OMV917549 OWR917549 PGN917549 PQJ917549 QAF917549 QKB917549 QTX917549 RDT917549 RNP917549 RXL917549 SHH917549 SRD917549 TAZ917549 TKV917549 TUR917549 UEN917549 UOJ917549 UYF917549 VIB917549 VRX917549 WBT917549 WLP917549 WVL917549 D983085 IZ983085 SV983085 ACR983085 AMN983085 AWJ983085 BGF983085 BQB983085 BZX983085 CJT983085 CTP983085 DDL983085 DNH983085 DXD983085 EGZ983085 EQV983085 FAR983085 FKN983085 FUJ983085 GEF983085 GOB983085 GXX983085 HHT983085 HRP983085 IBL983085 ILH983085 IVD983085 JEZ983085 JOV983085 JYR983085 KIN983085 KSJ983085 LCF983085 LMB983085 LVX983085 MFT983085 MPP983085 MZL983085 NJH983085 NTD983085 OCZ983085 OMV983085 OWR983085 PGN983085 PQJ983085 QAF983085 QKB983085 QTX983085 RDT983085 RNP983085 RXL983085 SHH983085 SRD983085 TAZ983085 TKV983085 TUR983085 UEN983085 UOJ983085 UYF983085 VIB983085 VRX983085 WBT983085 WLP983085 WVL983085" xr:uid="{B94CA75B-AB01-4847-85BC-9149C64B5C45}">
      <formula1>Combustion_Equip</formula1>
    </dataValidation>
    <dataValidation type="list" allowBlank="1" showInputMessage="1" showErrorMessage="1" sqref="D63 IZ63 SV63 ACR63 AMN63 AWJ63 BGF63 BQB63 BZX63 CJT63 CTP63 DDL63 DNH63 DXD63 EGZ63 EQV63 FAR63 FKN63 FUJ63 GEF63 GOB63 GXX63 HHT63 HRP63 IBL63 ILH63 IVD63 JEZ63 JOV63 JYR63 KIN63 KSJ63 LCF63 LMB63 LVX63 MFT63 MPP63 MZL63 NJH63 NTD63 OCZ63 OMV63 OWR63 PGN63 PQJ63 QAF63 QKB63 QTX63 RDT63 RNP63 RXL63 SHH63 SRD63 TAZ63 TKV63 TUR63 UEN63 UOJ63 UYF63 VIB63 VRX63 WBT63 WLP63 WVL63 D65599 IZ65599 SV65599 ACR65599 AMN65599 AWJ65599 BGF65599 BQB65599 BZX65599 CJT65599 CTP65599 DDL65599 DNH65599 DXD65599 EGZ65599 EQV65599 FAR65599 FKN65599 FUJ65599 GEF65599 GOB65599 GXX65599 HHT65599 HRP65599 IBL65599 ILH65599 IVD65599 JEZ65599 JOV65599 JYR65599 KIN65599 KSJ65599 LCF65599 LMB65599 LVX65599 MFT65599 MPP65599 MZL65599 NJH65599 NTD65599 OCZ65599 OMV65599 OWR65599 PGN65599 PQJ65599 QAF65599 QKB65599 QTX65599 RDT65599 RNP65599 RXL65599 SHH65599 SRD65599 TAZ65599 TKV65599 TUR65599 UEN65599 UOJ65599 UYF65599 VIB65599 VRX65599 WBT65599 WLP65599 WVL65599 D131135 IZ131135 SV131135 ACR131135 AMN131135 AWJ131135 BGF131135 BQB131135 BZX131135 CJT131135 CTP131135 DDL131135 DNH131135 DXD131135 EGZ131135 EQV131135 FAR131135 FKN131135 FUJ131135 GEF131135 GOB131135 GXX131135 HHT131135 HRP131135 IBL131135 ILH131135 IVD131135 JEZ131135 JOV131135 JYR131135 KIN131135 KSJ131135 LCF131135 LMB131135 LVX131135 MFT131135 MPP131135 MZL131135 NJH131135 NTD131135 OCZ131135 OMV131135 OWR131135 PGN131135 PQJ131135 QAF131135 QKB131135 QTX131135 RDT131135 RNP131135 RXL131135 SHH131135 SRD131135 TAZ131135 TKV131135 TUR131135 UEN131135 UOJ131135 UYF131135 VIB131135 VRX131135 WBT131135 WLP131135 WVL131135 D196671 IZ196671 SV196671 ACR196671 AMN196671 AWJ196671 BGF196671 BQB196671 BZX196671 CJT196671 CTP196671 DDL196671 DNH196671 DXD196671 EGZ196671 EQV196671 FAR196671 FKN196671 FUJ196671 GEF196671 GOB196671 GXX196671 HHT196671 HRP196671 IBL196671 ILH196671 IVD196671 JEZ196671 JOV196671 JYR196671 KIN196671 KSJ196671 LCF196671 LMB196671 LVX196671 MFT196671 MPP196671 MZL196671 NJH196671 NTD196671 OCZ196671 OMV196671 OWR196671 PGN196671 PQJ196671 QAF196671 QKB196671 QTX196671 RDT196671 RNP196671 RXL196671 SHH196671 SRD196671 TAZ196671 TKV196671 TUR196671 UEN196671 UOJ196671 UYF196671 VIB196671 VRX196671 WBT196671 WLP196671 WVL196671 D262207 IZ262207 SV262207 ACR262207 AMN262207 AWJ262207 BGF262207 BQB262207 BZX262207 CJT262207 CTP262207 DDL262207 DNH262207 DXD262207 EGZ262207 EQV262207 FAR262207 FKN262207 FUJ262207 GEF262207 GOB262207 GXX262207 HHT262207 HRP262207 IBL262207 ILH262207 IVD262207 JEZ262207 JOV262207 JYR262207 KIN262207 KSJ262207 LCF262207 LMB262207 LVX262207 MFT262207 MPP262207 MZL262207 NJH262207 NTD262207 OCZ262207 OMV262207 OWR262207 PGN262207 PQJ262207 QAF262207 QKB262207 QTX262207 RDT262207 RNP262207 RXL262207 SHH262207 SRD262207 TAZ262207 TKV262207 TUR262207 UEN262207 UOJ262207 UYF262207 VIB262207 VRX262207 WBT262207 WLP262207 WVL262207 D327743 IZ327743 SV327743 ACR327743 AMN327743 AWJ327743 BGF327743 BQB327743 BZX327743 CJT327743 CTP327743 DDL327743 DNH327743 DXD327743 EGZ327743 EQV327743 FAR327743 FKN327743 FUJ327743 GEF327743 GOB327743 GXX327743 HHT327743 HRP327743 IBL327743 ILH327743 IVD327743 JEZ327743 JOV327743 JYR327743 KIN327743 KSJ327743 LCF327743 LMB327743 LVX327743 MFT327743 MPP327743 MZL327743 NJH327743 NTD327743 OCZ327743 OMV327743 OWR327743 PGN327743 PQJ327743 QAF327743 QKB327743 QTX327743 RDT327743 RNP327743 RXL327743 SHH327743 SRD327743 TAZ327743 TKV327743 TUR327743 UEN327743 UOJ327743 UYF327743 VIB327743 VRX327743 WBT327743 WLP327743 WVL327743 D393279 IZ393279 SV393279 ACR393279 AMN393279 AWJ393279 BGF393279 BQB393279 BZX393279 CJT393279 CTP393279 DDL393279 DNH393279 DXD393279 EGZ393279 EQV393279 FAR393279 FKN393279 FUJ393279 GEF393279 GOB393279 GXX393279 HHT393279 HRP393279 IBL393279 ILH393279 IVD393279 JEZ393279 JOV393279 JYR393279 KIN393279 KSJ393279 LCF393279 LMB393279 LVX393279 MFT393279 MPP393279 MZL393279 NJH393279 NTD393279 OCZ393279 OMV393279 OWR393279 PGN393279 PQJ393279 QAF393279 QKB393279 QTX393279 RDT393279 RNP393279 RXL393279 SHH393279 SRD393279 TAZ393279 TKV393279 TUR393279 UEN393279 UOJ393279 UYF393279 VIB393279 VRX393279 WBT393279 WLP393279 WVL393279 D458815 IZ458815 SV458815 ACR458815 AMN458815 AWJ458815 BGF458815 BQB458815 BZX458815 CJT458815 CTP458815 DDL458815 DNH458815 DXD458815 EGZ458815 EQV458815 FAR458815 FKN458815 FUJ458815 GEF458815 GOB458815 GXX458815 HHT458815 HRP458815 IBL458815 ILH458815 IVD458815 JEZ458815 JOV458815 JYR458815 KIN458815 KSJ458815 LCF458815 LMB458815 LVX458815 MFT458815 MPP458815 MZL458815 NJH458815 NTD458815 OCZ458815 OMV458815 OWR458815 PGN458815 PQJ458815 QAF458815 QKB458815 QTX458815 RDT458815 RNP458815 RXL458815 SHH458815 SRD458815 TAZ458815 TKV458815 TUR458815 UEN458815 UOJ458815 UYF458815 VIB458815 VRX458815 WBT458815 WLP458815 WVL458815 D524351 IZ524351 SV524351 ACR524351 AMN524351 AWJ524351 BGF524351 BQB524351 BZX524351 CJT524351 CTP524351 DDL524351 DNH524351 DXD524351 EGZ524351 EQV524351 FAR524351 FKN524351 FUJ524351 GEF524351 GOB524351 GXX524351 HHT524351 HRP524351 IBL524351 ILH524351 IVD524351 JEZ524351 JOV524351 JYR524351 KIN524351 KSJ524351 LCF524351 LMB524351 LVX524351 MFT524351 MPP524351 MZL524351 NJH524351 NTD524351 OCZ524351 OMV524351 OWR524351 PGN524351 PQJ524351 QAF524351 QKB524351 QTX524351 RDT524351 RNP524351 RXL524351 SHH524351 SRD524351 TAZ524351 TKV524351 TUR524351 UEN524351 UOJ524351 UYF524351 VIB524351 VRX524351 WBT524351 WLP524351 WVL524351 D589887 IZ589887 SV589887 ACR589887 AMN589887 AWJ589887 BGF589887 BQB589887 BZX589887 CJT589887 CTP589887 DDL589887 DNH589887 DXD589887 EGZ589887 EQV589887 FAR589887 FKN589887 FUJ589887 GEF589887 GOB589887 GXX589887 HHT589887 HRP589887 IBL589887 ILH589887 IVD589887 JEZ589887 JOV589887 JYR589887 KIN589887 KSJ589887 LCF589887 LMB589887 LVX589887 MFT589887 MPP589887 MZL589887 NJH589887 NTD589887 OCZ589887 OMV589887 OWR589887 PGN589887 PQJ589887 QAF589887 QKB589887 QTX589887 RDT589887 RNP589887 RXL589887 SHH589887 SRD589887 TAZ589887 TKV589887 TUR589887 UEN589887 UOJ589887 UYF589887 VIB589887 VRX589887 WBT589887 WLP589887 WVL589887 D655423 IZ655423 SV655423 ACR655423 AMN655423 AWJ655423 BGF655423 BQB655423 BZX655423 CJT655423 CTP655423 DDL655423 DNH655423 DXD655423 EGZ655423 EQV655423 FAR655423 FKN655423 FUJ655423 GEF655423 GOB655423 GXX655423 HHT655423 HRP655423 IBL655423 ILH655423 IVD655423 JEZ655423 JOV655423 JYR655423 KIN655423 KSJ655423 LCF655423 LMB655423 LVX655423 MFT655423 MPP655423 MZL655423 NJH655423 NTD655423 OCZ655423 OMV655423 OWR655423 PGN655423 PQJ655423 QAF655423 QKB655423 QTX655423 RDT655423 RNP655423 RXL655423 SHH655423 SRD655423 TAZ655423 TKV655423 TUR655423 UEN655423 UOJ655423 UYF655423 VIB655423 VRX655423 WBT655423 WLP655423 WVL655423 D720959 IZ720959 SV720959 ACR720959 AMN720959 AWJ720959 BGF720959 BQB720959 BZX720959 CJT720959 CTP720959 DDL720959 DNH720959 DXD720959 EGZ720959 EQV720959 FAR720959 FKN720959 FUJ720959 GEF720959 GOB720959 GXX720959 HHT720959 HRP720959 IBL720959 ILH720959 IVD720959 JEZ720959 JOV720959 JYR720959 KIN720959 KSJ720959 LCF720959 LMB720959 LVX720959 MFT720959 MPP720959 MZL720959 NJH720959 NTD720959 OCZ720959 OMV720959 OWR720959 PGN720959 PQJ720959 QAF720959 QKB720959 QTX720959 RDT720959 RNP720959 RXL720959 SHH720959 SRD720959 TAZ720959 TKV720959 TUR720959 UEN720959 UOJ720959 UYF720959 VIB720959 VRX720959 WBT720959 WLP720959 WVL720959 D786495 IZ786495 SV786495 ACR786495 AMN786495 AWJ786495 BGF786495 BQB786495 BZX786495 CJT786495 CTP786495 DDL786495 DNH786495 DXD786495 EGZ786495 EQV786495 FAR786495 FKN786495 FUJ786495 GEF786495 GOB786495 GXX786495 HHT786495 HRP786495 IBL786495 ILH786495 IVD786495 JEZ786495 JOV786495 JYR786495 KIN786495 KSJ786495 LCF786495 LMB786495 LVX786495 MFT786495 MPP786495 MZL786495 NJH786495 NTD786495 OCZ786495 OMV786495 OWR786495 PGN786495 PQJ786495 QAF786495 QKB786495 QTX786495 RDT786495 RNP786495 RXL786495 SHH786495 SRD786495 TAZ786495 TKV786495 TUR786495 UEN786495 UOJ786495 UYF786495 VIB786495 VRX786495 WBT786495 WLP786495 WVL786495 D852031 IZ852031 SV852031 ACR852031 AMN852031 AWJ852031 BGF852031 BQB852031 BZX852031 CJT852031 CTP852031 DDL852031 DNH852031 DXD852031 EGZ852031 EQV852031 FAR852031 FKN852031 FUJ852031 GEF852031 GOB852031 GXX852031 HHT852031 HRP852031 IBL852031 ILH852031 IVD852031 JEZ852031 JOV852031 JYR852031 KIN852031 KSJ852031 LCF852031 LMB852031 LVX852031 MFT852031 MPP852031 MZL852031 NJH852031 NTD852031 OCZ852031 OMV852031 OWR852031 PGN852031 PQJ852031 QAF852031 QKB852031 QTX852031 RDT852031 RNP852031 RXL852031 SHH852031 SRD852031 TAZ852031 TKV852031 TUR852031 UEN852031 UOJ852031 UYF852031 VIB852031 VRX852031 WBT852031 WLP852031 WVL852031 D917567 IZ917567 SV917567 ACR917567 AMN917567 AWJ917567 BGF917567 BQB917567 BZX917567 CJT917567 CTP917567 DDL917567 DNH917567 DXD917567 EGZ917567 EQV917567 FAR917567 FKN917567 FUJ917567 GEF917567 GOB917567 GXX917567 HHT917567 HRP917567 IBL917567 ILH917567 IVD917567 JEZ917567 JOV917567 JYR917567 KIN917567 KSJ917567 LCF917567 LMB917567 LVX917567 MFT917567 MPP917567 MZL917567 NJH917567 NTD917567 OCZ917567 OMV917567 OWR917567 PGN917567 PQJ917567 QAF917567 QKB917567 QTX917567 RDT917567 RNP917567 RXL917567 SHH917567 SRD917567 TAZ917567 TKV917567 TUR917567 UEN917567 UOJ917567 UYF917567 VIB917567 VRX917567 WBT917567 WLP917567 WVL917567 D983103 IZ983103 SV983103 ACR983103 AMN983103 AWJ983103 BGF983103 BQB983103 BZX983103 CJT983103 CTP983103 DDL983103 DNH983103 DXD983103 EGZ983103 EQV983103 FAR983103 FKN983103 FUJ983103 GEF983103 GOB983103 GXX983103 HHT983103 HRP983103 IBL983103 ILH983103 IVD983103 JEZ983103 JOV983103 JYR983103 KIN983103 KSJ983103 LCF983103 LMB983103 LVX983103 MFT983103 MPP983103 MZL983103 NJH983103 NTD983103 OCZ983103 OMV983103 OWR983103 PGN983103 PQJ983103 QAF983103 QKB983103 QTX983103 RDT983103 RNP983103 RXL983103 SHH983103 SRD983103 TAZ983103 TKV983103 TUR983103 UEN983103 UOJ983103 UYF983103 VIB983103 VRX983103 WBT983103 WLP983103 WVL983103 D47 IZ47 SV47 ACR47 AMN47 AWJ47 BGF47 BQB47 BZX47 CJT47 CTP47 DDL47 DNH47 DXD47 EGZ47 EQV47 FAR47 FKN47 FUJ47 GEF47 GOB47 GXX47 HHT47 HRP47 IBL47 ILH47 IVD47 JEZ47 JOV47 JYR47 KIN47 KSJ47 LCF47 LMB47 LVX47 MFT47 MPP47 MZL47 NJH47 NTD47 OCZ47 OMV47 OWR47 PGN47 PQJ47 QAF47 QKB47 QTX47 RDT47 RNP47 RXL47 SHH47 SRD47 TAZ47 TKV47 TUR47 UEN47 UOJ47 UYF47 VIB47 VRX47 WBT47 WLP47 WVL47 D65583 IZ65583 SV65583 ACR65583 AMN65583 AWJ65583 BGF65583 BQB65583 BZX65583 CJT65583 CTP65583 DDL65583 DNH65583 DXD65583 EGZ65583 EQV65583 FAR65583 FKN65583 FUJ65583 GEF65583 GOB65583 GXX65583 HHT65583 HRP65583 IBL65583 ILH65583 IVD65583 JEZ65583 JOV65583 JYR65583 KIN65583 KSJ65583 LCF65583 LMB65583 LVX65583 MFT65583 MPP65583 MZL65583 NJH65583 NTD65583 OCZ65583 OMV65583 OWR65583 PGN65583 PQJ65583 QAF65583 QKB65583 QTX65583 RDT65583 RNP65583 RXL65583 SHH65583 SRD65583 TAZ65583 TKV65583 TUR65583 UEN65583 UOJ65583 UYF65583 VIB65583 VRX65583 WBT65583 WLP65583 WVL65583 D131119 IZ131119 SV131119 ACR131119 AMN131119 AWJ131119 BGF131119 BQB131119 BZX131119 CJT131119 CTP131119 DDL131119 DNH131119 DXD131119 EGZ131119 EQV131119 FAR131119 FKN131119 FUJ131119 GEF131119 GOB131119 GXX131119 HHT131119 HRP131119 IBL131119 ILH131119 IVD131119 JEZ131119 JOV131119 JYR131119 KIN131119 KSJ131119 LCF131119 LMB131119 LVX131119 MFT131119 MPP131119 MZL131119 NJH131119 NTD131119 OCZ131119 OMV131119 OWR131119 PGN131119 PQJ131119 QAF131119 QKB131119 QTX131119 RDT131119 RNP131119 RXL131119 SHH131119 SRD131119 TAZ131119 TKV131119 TUR131119 UEN131119 UOJ131119 UYF131119 VIB131119 VRX131119 WBT131119 WLP131119 WVL131119 D196655 IZ196655 SV196655 ACR196655 AMN196655 AWJ196655 BGF196655 BQB196655 BZX196655 CJT196655 CTP196655 DDL196655 DNH196655 DXD196655 EGZ196655 EQV196655 FAR196655 FKN196655 FUJ196655 GEF196655 GOB196655 GXX196655 HHT196655 HRP196655 IBL196655 ILH196655 IVD196655 JEZ196655 JOV196655 JYR196655 KIN196655 KSJ196655 LCF196655 LMB196655 LVX196655 MFT196655 MPP196655 MZL196655 NJH196655 NTD196655 OCZ196655 OMV196655 OWR196655 PGN196655 PQJ196655 QAF196655 QKB196655 QTX196655 RDT196655 RNP196655 RXL196655 SHH196655 SRD196655 TAZ196655 TKV196655 TUR196655 UEN196655 UOJ196655 UYF196655 VIB196655 VRX196655 WBT196655 WLP196655 WVL196655 D262191 IZ262191 SV262191 ACR262191 AMN262191 AWJ262191 BGF262191 BQB262191 BZX262191 CJT262191 CTP262191 DDL262191 DNH262191 DXD262191 EGZ262191 EQV262191 FAR262191 FKN262191 FUJ262191 GEF262191 GOB262191 GXX262191 HHT262191 HRP262191 IBL262191 ILH262191 IVD262191 JEZ262191 JOV262191 JYR262191 KIN262191 KSJ262191 LCF262191 LMB262191 LVX262191 MFT262191 MPP262191 MZL262191 NJH262191 NTD262191 OCZ262191 OMV262191 OWR262191 PGN262191 PQJ262191 QAF262191 QKB262191 QTX262191 RDT262191 RNP262191 RXL262191 SHH262191 SRD262191 TAZ262191 TKV262191 TUR262191 UEN262191 UOJ262191 UYF262191 VIB262191 VRX262191 WBT262191 WLP262191 WVL262191 D327727 IZ327727 SV327727 ACR327727 AMN327727 AWJ327727 BGF327727 BQB327727 BZX327727 CJT327727 CTP327727 DDL327727 DNH327727 DXD327727 EGZ327727 EQV327727 FAR327727 FKN327727 FUJ327727 GEF327727 GOB327727 GXX327727 HHT327727 HRP327727 IBL327727 ILH327727 IVD327727 JEZ327727 JOV327727 JYR327727 KIN327727 KSJ327727 LCF327727 LMB327727 LVX327727 MFT327727 MPP327727 MZL327727 NJH327727 NTD327727 OCZ327727 OMV327727 OWR327727 PGN327727 PQJ327727 QAF327727 QKB327727 QTX327727 RDT327727 RNP327727 RXL327727 SHH327727 SRD327727 TAZ327727 TKV327727 TUR327727 UEN327727 UOJ327727 UYF327727 VIB327727 VRX327727 WBT327727 WLP327727 WVL327727 D393263 IZ393263 SV393263 ACR393263 AMN393263 AWJ393263 BGF393263 BQB393263 BZX393263 CJT393263 CTP393263 DDL393263 DNH393263 DXD393263 EGZ393263 EQV393263 FAR393263 FKN393263 FUJ393263 GEF393263 GOB393263 GXX393263 HHT393263 HRP393263 IBL393263 ILH393263 IVD393263 JEZ393263 JOV393263 JYR393263 KIN393263 KSJ393263 LCF393263 LMB393263 LVX393263 MFT393263 MPP393263 MZL393263 NJH393263 NTD393263 OCZ393263 OMV393263 OWR393263 PGN393263 PQJ393263 QAF393263 QKB393263 QTX393263 RDT393263 RNP393263 RXL393263 SHH393263 SRD393263 TAZ393263 TKV393263 TUR393263 UEN393263 UOJ393263 UYF393263 VIB393263 VRX393263 WBT393263 WLP393263 WVL393263 D458799 IZ458799 SV458799 ACR458799 AMN458799 AWJ458799 BGF458799 BQB458799 BZX458799 CJT458799 CTP458799 DDL458799 DNH458799 DXD458799 EGZ458799 EQV458799 FAR458799 FKN458799 FUJ458799 GEF458799 GOB458799 GXX458799 HHT458799 HRP458799 IBL458799 ILH458799 IVD458799 JEZ458799 JOV458799 JYR458799 KIN458799 KSJ458799 LCF458799 LMB458799 LVX458799 MFT458799 MPP458799 MZL458799 NJH458799 NTD458799 OCZ458799 OMV458799 OWR458799 PGN458799 PQJ458799 QAF458799 QKB458799 QTX458799 RDT458799 RNP458799 RXL458799 SHH458799 SRD458799 TAZ458799 TKV458799 TUR458799 UEN458799 UOJ458799 UYF458799 VIB458799 VRX458799 WBT458799 WLP458799 WVL458799 D524335 IZ524335 SV524335 ACR524335 AMN524335 AWJ524335 BGF524335 BQB524335 BZX524335 CJT524335 CTP524335 DDL524335 DNH524335 DXD524335 EGZ524335 EQV524335 FAR524335 FKN524335 FUJ524335 GEF524335 GOB524335 GXX524335 HHT524335 HRP524335 IBL524335 ILH524335 IVD524335 JEZ524335 JOV524335 JYR524335 KIN524335 KSJ524335 LCF524335 LMB524335 LVX524335 MFT524335 MPP524335 MZL524335 NJH524335 NTD524335 OCZ524335 OMV524335 OWR524335 PGN524335 PQJ524335 QAF524335 QKB524335 QTX524335 RDT524335 RNP524335 RXL524335 SHH524335 SRD524335 TAZ524335 TKV524335 TUR524335 UEN524335 UOJ524335 UYF524335 VIB524335 VRX524335 WBT524335 WLP524335 WVL524335 D589871 IZ589871 SV589871 ACR589871 AMN589871 AWJ589871 BGF589871 BQB589871 BZX589871 CJT589871 CTP589871 DDL589871 DNH589871 DXD589871 EGZ589871 EQV589871 FAR589871 FKN589871 FUJ589871 GEF589871 GOB589871 GXX589871 HHT589871 HRP589871 IBL589871 ILH589871 IVD589871 JEZ589871 JOV589871 JYR589871 KIN589871 KSJ589871 LCF589871 LMB589871 LVX589871 MFT589871 MPP589871 MZL589871 NJH589871 NTD589871 OCZ589871 OMV589871 OWR589871 PGN589871 PQJ589871 QAF589871 QKB589871 QTX589871 RDT589871 RNP589871 RXL589871 SHH589871 SRD589871 TAZ589871 TKV589871 TUR589871 UEN589871 UOJ589871 UYF589871 VIB589871 VRX589871 WBT589871 WLP589871 WVL589871 D655407 IZ655407 SV655407 ACR655407 AMN655407 AWJ655407 BGF655407 BQB655407 BZX655407 CJT655407 CTP655407 DDL655407 DNH655407 DXD655407 EGZ655407 EQV655407 FAR655407 FKN655407 FUJ655407 GEF655407 GOB655407 GXX655407 HHT655407 HRP655407 IBL655407 ILH655407 IVD655407 JEZ655407 JOV655407 JYR655407 KIN655407 KSJ655407 LCF655407 LMB655407 LVX655407 MFT655407 MPP655407 MZL655407 NJH655407 NTD655407 OCZ655407 OMV655407 OWR655407 PGN655407 PQJ655407 QAF655407 QKB655407 QTX655407 RDT655407 RNP655407 RXL655407 SHH655407 SRD655407 TAZ655407 TKV655407 TUR655407 UEN655407 UOJ655407 UYF655407 VIB655407 VRX655407 WBT655407 WLP655407 WVL655407 D720943 IZ720943 SV720943 ACR720943 AMN720943 AWJ720943 BGF720943 BQB720943 BZX720943 CJT720943 CTP720943 DDL720943 DNH720943 DXD720943 EGZ720943 EQV720943 FAR720943 FKN720943 FUJ720943 GEF720943 GOB720943 GXX720943 HHT720943 HRP720943 IBL720943 ILH720943 IVD720943 JEZ720943 JOV720943 JYR720943 KIN720943 KSJ720943 LCF720943 LMB720943 LVX720943 MFT720943 MPP720943 MZL720943 NJH720943 NTD720943 OCZ720943 OMV720943 OWR720943 PGN720943 PQJ720943 QAF720943 QKB720943 QTX720943 RDT720943 RNP720943 RXL720943 SHH720943 SRD720943 TAZ720943 TKV720943 TUR720943 UEN720943 UOJ720943 UYF720943 VIB720943 VRX720943 WBT720943 WLP720943 WVL720943 D786479 IZ786479 SV786479 ACR786479 AMN786479 AWJ786479 BGF786479 BQB786479 BZX786479 CJT786479 CTP786479 DDL786479 DNH786479 DXD786479 EGZ786479 EQV786479 FAR786479 FKN786479 FUJ786479 GEF786479 GOB786479 GXX786479 HHT786479 HRP786479 IBL786479 ILH786479 IVD786479 JEZ786479 JOV786479 JYR786479 KIN786479 KSJ786479 LCF786479 LMB786479 LVX786479 MFT786479 MPP786479 MZL786479 NJH786479 NTD786479 OCZ786479 OMV786479 OWR786479 PGN786479 PQJ786479 QAF786479 QKB786479 QTX786479 RDT786479 RNP786479 RXL786479 SHH786479 SRD786479 TAZ786479 TKV786479 TUR786479 UEN786479 UOJ786479 UYF786479 VIB786479 VRX786479 WBT786479 WLP786479 WVL786479 D852015 IZ852015 SV852015 ACR852015 AMN852015 AWJ852015 BGF852015 BQB852015 BZX852015 CJT852015 CTP852015 DDL852015 DNH852015 DXD852015 EGZ852015 EQV852015 FAR852015 FKN852015 FUJ852015 GEF852015 GOB852015 GXX852015 HHT852015 HRP852015 IBL852015 ILH852015 IVD852015 JEZ852015 JOV852015 JYR852015 KIN852015 KSJ852015 LCF852015 LMB852015 LVX852015 MFT852015 MPP852015 MZL852015 NJH852015 NTD852015 OCZ852015 OMV852015 OWR852015 PGN852015 PQJ852015 QAF852015 QKB852015 QTX852015 RDT852015 RNP852015 RXL852015 SHH852015 SRD852015 TAZ852015 TKV852015 TUR852015 UEN852015 UOJ852015 UYF852015 VIB852015 VRX852015 WBT852015 WLP852015 WVL852015 D917551 IZ917551 SV917551 ACR917551 AMN917551 AWJ917551 BGF917551 BQB917551 BZX917551 CJT917551 CTP917551 DDL917551 DNH917551 DXD917551 EGZ917551 EQV917551 FAR917551 FKN917551 FUJ917551 GEF917551 GOB917551 GXX917551 HHT917551 HRP917551 IBL917551 ILH917551 IVD917551 JEZ917551 JOV917551 JYR917551 KIN917551 KSJ917551 LCF917551 LMB917551 LVX917551 MFT917551 MPP917551 MZL917551 NJH917551 NTD917551 OCZ917551 OMV917551 OWR917551 PGN917551 PQJ917551 QAF917551 QKB917551 QTX917551 RDT917551 RNP917551 RXL917551 SHH917551 SRD917551 TAZ917551 TKV917551 TUR917551 UEN917551 UOJ917551 UYF917551 VIB917551 VRX917551 WBT917551 WLP917551 WVL917551 D983087 IZ983087 SV983087 ACR983087 AMN983087 AWJ983087 BGF983087 BQB983087 BZX983087 CJT983087 CTP983087 DDL983087 DNH983087 DXD983087 EGZ983087 EQV983087 FAR983087 FKN983087 FUJ983087 GEF983087 GOB983087 GXX983087 HHT983087 HRP983087 IBL983087 ILH983087 IVD983087 JEZ983087 JOV983087 JYR983087 KIN983087 KSJ983087 LCF983087 LMB983087 LVX983087 MFT983087 MPP983087 MZL983087 NJH983087 NTD983087 OCZ983087 OMV983087 OWR983087 PGN983087 PQJ983087 QAF983087 QKB983087 QTX983087 RDT983087 RNP983087 RXL983087 SHH983087 SRD983087 TAZ983087 TKV983087 TUR983087 UEN983087 UOJ983087 UYF983087 VIB983087 VRX983087 WBT983087 WLP983087 WVL983087 D31:E31 IZ31:JA31 SV31:SW31 ACR31:ACS31 AMN31:AMO31 AWJ31:AWK31 BGF31:BGG31 BQB31:BQC31 BZX31:BZY31 CJT31:CJU31 CTP31:CTQ31 DDL31:DDM31 DNH31:DNI31 DXD31:DXE31 EGZ31:EHA31 EQV31:EQW31 FAR31:FAS31 FKN31:FKO31 FUJ31:FUK31 GEF31:GEG31 GOB31:GOC31 GXX31:GXY31 HHT31:HHU31 HRP31:HRQ31 IBL31:IBM31 ILH31:ILI31 IVD31:IVE31 JEZ31:JFA31 JOV31:JOW31 JYR31:JYS31 KIN31:KIO31 KSJ31:KSK31 LCF31:LCG31 LMB31:LMC31 LVX31:LVY31 MFT31:MFU31 MPP31:MPQ31 MZL31:MZM31 NJH31:NJI31 NTD31:NTE31 OCZ31:ODA31 OMV31:OMW31 OWR31:OWS31 PGN31:PGO31 PQJ31:PQK31 QAF31:QAG31 QKB31:QKC31 QTX31:QTY31 RDT31:RDU31 RNP31:RNQ31 RXL31:RXM31 SHH31:SHI31 SRD31:SRE31 TAZ31:TBA31 TKV31:TKW31 TUR31:TUS31 UEN31:UEO31 UOJ31:UOK31 UYF31:UYG31 VIB31:VIC31 VRX31:VRY31 WBT31:WBU31 WLP31:WLQ31 WVL31:WVM31 D65567:E65567 IZ65567:JA65567 SV65567:SW65567 ACR65567:ACS65567 AMN65567:AMO65567 AWJ65567:AWK65567 BGF65567:BGG65567 BQB65567:BQC65567 BZX65567:BZY65567 CJT65567:CJU65567 CTP65567:CTQ65567 DDL65567:DDM65567 DNH65567:DNI65567 DXD65567:DXE65567 EGZ65567:EHA65567 EQV65567:EQW65567 FAR65567:FAS65567 FKN65567:FKO65567 FUJ65567:FUK65567 GEF65567:GEG65567 GOB65567:GOC65567 GXX65567:GXY65567 HHT65567:HHU65567 HRP65567:HRQ65567 IBL65567:IBM65567 ILH65567:ILI65567 IVD65567:IVE65567 JEZ65567:JFA65567 JOV65567:JOW65567 JYR65567:JYS65567 KIN65567:KIO65567 KSJ65567:KSK65567 LCF65567:LCG65567 LMB65567:LMC65567 LVX65567:LVY65567 MFT65567:MFU65567 MPP65567:MPQ65567 MZL65567:MZM65567 NJH65567:NJI65567 NTD65567:NTE65567 OCZ65567:ODA65567 OMV65567:OMW65567 OWR65567:OWS65567 PGN65567:PGO65567 PQJ65567:PQK65567 QAF65567:QAG65567 QKB65567:QKC65567 QTX65567:QTY65567 RDT65567:RDU65567 RNP65567:RNQ65567 RXL65567:RXM65567 SHH65567:SHI65567 SRD65567:SRE65567 TAZ65567:TBA65567 TKV65567:TKW65567 TUR65567:TUS65567 UEN65567:UEO65567 UOJ65567:UOK65567 UYF65567:UYG65567 VIB65567:VIC65567 VRX65567:VRY65567 WBT65567:WBU65567 WLP65567:WLQ65567 WVL65567:WVM65567 D131103:E131103 IZ131103:JA131103 SV131103:SW131103 ACR131103:ACS131103 AMN131103:AMO131103 AWJ131103:AWK131103 BGF131103:BGG131103 BQB131103:BQC131103 BZX131103:BZY131103 CJT131103:CJU131103 CTP131103:CTQ131103 DDL131103:DDM131103 DNH131103:DNI131103 DXD131103:DXE131103 EGZ131103:EHA131103 EQV131103:EQW131103 FAR131103:FAS131103 FKN131103:FKO131103 FUJ131103:FUK131103 GEF131103:GEG131103 GOB131103:GOC131103 GXX131103:GXY131103 HHT131103:HHU131103 HRP131103:HRQ131103 IBL131103:IBM131103 ILH131103:ILI131103 IVD131103:IVE131103 JEZ131103:JFA131103 JOV131103:JOW131103 JYR131103:JYS131103 KIN131103:KIO131103 KSJ131103:KSK131103 LCF131103:LCG131103 LMB131103:LMC131103 LVX131103:LVY131103 MFT131103:MFU131103 MPP131103:MPQ131103 MZL131103:MZM131103 NJH131103:NJI131103 NTD131103:NTE131103 OCZ131103:ODA131103 OMV131103:OMW131103 OWR131103:OWS131103 PGN131103:PGO131103 PQJ131103:PQK131103 QAF131103:QAG131103 QKB131103:QKC131103 QTX131103:QTY131103 RDT131103:RDU131103 RNP131103:RNQ131103 RXL131103:RXM131103 SHH131103:SHI131103 SRD131103:SRE131103 TAZ131103:TBA131103 TKV131103:TKW131103 TUR131103:TUS131103 UEN131103:UEO131103 UOJ131103:UOK131103 UYF131103:UYG131103 VIB131103:VIC131103 VRX131103:VRY131103 WBT131103:WBU131103 WLP131103:WLQ131103 WVL131103:WVM131103 D196639:E196639 IZ196639:JA196639 SV196639:SW196639 ACR196639:ACS196639 AMN196639:AMO196639 AWJ196639:AWK196639 BGF196639:BGG196639 BQB196639:BQC196639 BZX196639:BZY196639 CJT196639:CJU196639 CTP196639:CTQ196639 DDL196639:DDM196639 DNH196639:DNI196639 DXD196639:DXE196639 EGZ196639:EHA196639 EQV196639:EQW196639 FAR196639:FAS196639 FKN196639:FKO196639 FUJ196639:FUK196639 GEF196639:GEG196639 GOB196639:GOC196639 GXX196639:GXY196639 HHT196639:HHU196639 HRP196639:HRQ196639 IBL196639:IBM196639 ILH196639:ILI196639 IVD196639:IVE196639 JEZ196639:JFA196639 JOV196639:JOW196639 JYR196639:JYS196639 KIN196639:KIO196639 KSJ196639:KSK196639 LCF196639:LCG196639 LMB196639:LMC196639 LVX196639:LVY196639 MFT196639:MFU196639 MPP196639:MPQ196639 MZL196639:MZM196639 NJH196639:NJI196639 NTD196639:NTE196639 OCZ196639:ODA196639 OMV196639:OMW196639 OWR196639:OWS196639 PGN196639:PGO196639 PQJ196639:PQK196639 QAF196639:QAG196639 QKB196639:QKC196639 QTX196639:QTY196639 RDT196639:RDU196639 RNP196639:RNQ196639 RXL196639:RXM196639 SHH196639:SHI196639 SRD196639:SRE196639 TAZ196639:TBA196639 TKV196639:TKW196639 TUR196639:TUS196639 UEN196639:UEO196639 UOJ196639:UOK196639 UYF196639:UYG196639 VIB196639:VIC196639 VRX196639:VRY196639 WBT196639:WBU196639 WLP196639:WLQ196639 WVL196639:WVM196639 D262175:E262175 IZ262175:JA262175 SV262175:SW262175 ACR262175:ACS262175 AMN262175:AMO262175 AWJ262175:AWK262175 BGF262175:BGG262175 BQB262175:BQC262175 BZX262175:BZY262175 CJT262175:CJU262175 CTP262175:CTQ262175 DDL262175:DDM262175 DNH262175:DNI262175 DXD262175:DXE262175 EGZ262175:EHA262175 EQV262175:EQW262175 FAR262175:FAS262175 FKN262175:FKO262175 FUJ262175:FUK262175 GEF262175:GEG262175 GOB262175:GOC262175 GXX262175:GXY262175 HHT262175:HHU262175 HRP262175:HRQ262175 IBL262175:IBM262175 ILH262175:ILI262175 IVD262175:IVE262175 JEZ262175:JFA262175 JOV262175:JOW262175 JYR262175:JYS262175 KIN262175:KIO262175 KSJ262175:KSK262175 LCF262175:LCG262175 LMB262175:LMC262175 LVX262175:LVY262175 MFT262175:MFU262175 MPP262175:MPQ262175 MZL262175:MZM262175 NJH262175:NJI262175 NTD262175:NTE262175 OCZ262175:ODA262175 OMV262175:OMW262175 OWR262175:OWS262175 PGN262175:PGO262175 PQJ262175:PQK262175 QAF262175:QAG262175 QKB262175:QKC262175 QTX262175:QTY262175 RDT262175:RDU262175 RNP262175:RNQ262175 RXL262175:RXM262175 SHH262175:SHI262175 SRD262175:SRE262175 TAZ262175:TBA262175 TKV262175:TKW262175 TUR262175:TUS262175 UEN262175:UEO262175 UOJ262175:UOK262175 UYF262175:UYG262175 VIB262175:VIC262175 VRX262175:VRY262175 WBT262175:WBU262175 WLP262175:WLQ262175 WVL262175:WVM262175 D327711:E327711 IZ327711:JA327711 SV327711:SW327711 ACR327711:ACS327711 AMN327711:AMO327711 AWJ327711:AWK327711 BGF327711:BGG327711 BQB327711:BQC327711 BZX327711:BZY327711 CJT327711:CJU327711 CTP327711:CTQ327711 DDL327711:DDM327711 DNH327711:DNI327711 DXD327711:DXE327711 EGZ327711:EHA327711 EQV327711:EQW327711 FAR327711:FAS327711 FKN327711:FKO327711 FUJ327711:FUK327711 GEF327711:GEG327711 GOB327711:GOC327711 GXX327711:GXY327711 HHT327711:HHU327711 HRP327711:HRQ327711 IBL327711:IBM327711 ILH327711:ILI327711 IVD327711:IVE327711 JEZ327711:JFA327711 JOV327711:JOW327711 JYR327711:JYS327711 KIN327711:KIO327711 KSJ327711:KSK327711 LCF327711:LCG327711 LMB327711:LMC327711 LVX327711:LVY327711 MFT327711:MFU327711 MPP327711:MPQ327711 MZL327711:MZM327711 NJH327711:NJI327711 NTD327711:NTE327711 OCZ327711:ODA327711 OMV327711:OMW327711 OWR327711:OWS327711 PGN327711:PGO327711 PQJ327711:PQK327711 QAF327711:QAG327711 QKB327711:QKC327711 QTX327711:QTY327711 RDT327711:RDU327711 RNP327711:RNQ327711 RXL327711:RXM327711 SHH327711:SHI327711 SRD327711:SRE327711 TAZ327711:TBA327711 TKV327711:TKW327711 TUR327711:TUS327711 UEN327711:UEO327711 UOJ327711:UOK327711 UYF327711:UYG327711 VIB327711:VIC327711 VRX327711:VRY327711 WBT327711:WBU327711 WLP327711:WLQ327711 WVL327711:WVM327711 D393247:E393247 IZ393247:JA393247 SV393247:SW393247 ACR393247:ACS393247 AMN393247:AMO393247 AWJ393247:AWK393247 BGF393247:BGG393247 BQB393247:BQC393247 BZX393247:BZY393247 CJT393247:CJU393247 CTP393247:CTQ393247 DDL393247:DDM393247 DNH393247:DNI393247 DXD393247:DXE393247 EGZ393247:EHA393247 EQV393247:EQW393247 FAR393247:FAS393247 FKN393247:FKO393247 FUJ393247:FUK393247 GEF393247:GEG393247 GOB393247:GOC393247 GXX393247:GXY393247 HHT393247:HHU393247 HRP393247:HRQ393247 IBL393247:IBM393247 ILH393247:ILI393247 IVD393247:IVE393247 JEZ393247:JFA393247 JOV393247:JOW393247 JYR393247:JYS393247 KIN393247:KIO393247 KSJ393247:KSK393247 LCF393247:LCG393247 LMB393247:LMC393247 LVX393247:LVY393247 MFT393247:MFU393247 MPP393247:MPQ393247 MZL393247:MZM393247 NJH393247:NJI393247 NTD393247:NTE393247 OCZ393247:ODA393247 OMV393247:OMW393247 OWR393247:OWS393247 PGN393247:PGO393247 PQJ393247:PQK393247 QAF393247:QAG393247 QKB393247:QKC393247 QTX393247:QTY393247 RDT393247:RDU393247 RNP393247:RNQ393247 RXL393247:RXM393247 SHH393247:SHI393247 SRD393247:SRE393247 TAZ393247:TBA393247 TKV393247:TKW393247 TUR393247:TUS393247 UEN393247:UEO393247 UOJ393247:UOK393247 UYF393247:UYG393247 VIB393247:VIC393247 VRX393247:VRY393247 WBT393247:WBU393247 WLP393247:WLQ393247 WVL393247:WVM393247 D458783:E458783 IZ458783:JA458783 SV458783:SW458783 ACR458783:ACS458783 AMN458783:AMO458783 AWJ458783:AWK458783 BGF458783:BGG458783 BQB458783:BQC458783 BZX458783:BZY458783 CJT458783:CJU458783 CTP458783:CTQ458783 DDL458783:DDM458783 DNH458783:DNI458783 DXD458783:DXE458783 EGZ458783:EHA458783 EQV458783:EQW458783 FAR458783:FAS458783 FKN458783:FKO458783 FUJ458783:FUK458783 GEF458783:GEG458783 GOB458783:GOC458783 GXX458783:GXY458783 HHT458783:HHU458783 HRP458783:HRQ458783 IBL458783:IBM458783 ILH458783:ILI458783 IVD458783:IVE458783 JEZ458783:JFA458783 JOV458783:JOW458783 JYR458783:JYS458783 KIN458783:KIO458783 KSJ458783:KSK458783 LCF458783:LCG458783 LMB458783:LMC458783 LVX458783:LVY458783 MFT458783:MFU458783 MPP458783:MPQ458783 MZL458783:MZM458783 NJH458783:NJI458783 NTD458783:NTE458783 OCZ458783:ODA458783 OMV458783:OMW458783 OWR458783:OWS458783 PGN458783:PGO458783 PQJ458783:PQK458783 QAF458783:QAG458783 QKB458783:QKC458783 QTX458783:QTY458783 RDT458783:RDU458783 RNP458783:RNQ458783 RXL458783:RXM458783 SHH458783:SHI458783 SRD458783:SRE458783 TAZ458783:TBA458783 TKV458783:TKW458783 TUR458783:TUS458783 UEN458783:UEO458783 UOJ458783:UOK458783 UYF458783:UYG458783 VIB458783:VIC458783 VRX458783:VRY458783 WBT458783:WBU458783 WLP458783:WLQ458783 WVL458783:WVM458783 D524319:E524319 IZ524319:JA524319 SV524319:SW524319 ACR524319:ACS524319 AMN524319:AMO524319 AWJ524319:AWK524319 BGF524319:BGG524319 BQB524319:BQC524319 BZX524319:BZY524319 CJT524319:CJU524319 CTP524319:CTQ524319 DDL524319:DDM524319 DNH524319:DNI524319 DXD524319:DXE524319 EGZ524319:EHA524319 EQV524319:EQW524319 FAR524319:FAS524319 FKN524319:FKO524319 FUJ524319:FUK524319 GEF524319:GEG524319 GOB524319:GOC524319 GXX524319:GXY524319 HHT524319:HHU524319 HRP524319:HRQ524319 IBL524319:IBM524319 ILH524319:ILI524319 IVD524319:IVE524319 JEZ524319:JFA524319 JOV524319:JOW524319 JYR524319:JYS524319 KIN524319:KIO524319 KSJ524319:KSK524319 LCF524319:LCG524319 LMB524319:LMC524319 LVX524319:LVY524319 MFT524319:MFU524319 MPP524319:MPQ524319 MZL524319:MZM524319 NJH524319:NJI524319 NTD524319:NTE524319 OCZ524319:ODA524319 OMV524319:OMW524319 OWR524319:OWS524319 PGN524319:PGO524319 PQJ524319:PQK524319 QAF524319:QAG524319 QKB524319:QKC524319 QTX524319:QTY524319 RDT524319:RDU524319 RNP524319:RNQ524319 RXL524319:RXM524319 SHH524319:SHI524319 SRD524319:SRE524319 TAZ524319:TBA524319 TKV524319:TKW524319 TUR524319:TUS524319 UEN524319:UEO524319 UOJ524319:UOK524319 UYF524319:UYG524319 VIB524319:VIC524319 VRX524319:VRY524319 WBT524319:WBU524319 WLP524319:WLQ524319 WVL524319:WVM524319 D589855:E589855 IZ589855:JA589855 SV589855:SW589855 ACR589855:ACS589855 AMN589855:AMO589855 AWJ589855:AWK589855 BGF589855:BGG589855 BQB589855:BQC589855 BZX589855:BZY589855 CJT589855:CJU589855 CTP589855:CTQ589855 DDL589855:DDM589855 DNH589855:DNI589855 DXD589855:DXE589855 EGZ589855:EHA589855 EQV589855:EQW589855 FAR589855:FAS589855 FKN589855:FKO589855 FUJ589855:FUK589855 GEF589855:GEG589855 GOB589855:GOC589855 GXX589855:GXY589855 HHT589855:HHU589855 HRP589855:HRQ589855 IBL589855:IBM589855 ILH589855:ILI589855 IVD589855:IVE589855 JEZ589855:JFA589855 JOV589855:JOW589855 JYR589855:JYS589855 KIN589855:KIO589855 KSJ589855:KSK589855 LCF589855:LCG589855 LMB589855:LMC589855 LVX589855:LVY589855 MFT589855:MFU589855 MPP589855:MPQ589855 MZL589855:MZM589855 NJH589855:NJI589855 NTD589855:NTE589855 OCZ589855:ODA589855 OMV589855:OMW589855 OWR589855:OWS589855 PGN589855:PGO589855 PQJ589855:PQK589855 QAF589855:QAG589855 QKB589855:QKC589855 QTX589855:QTY589855 RDT589855:RDU589855 RNP589855:RNQ589855 RXL589855:RXM589855 SHH589855:SHI589855 SRD589855:SRE589855 TAZ589855:TBA589855 TKV589855:TKW589855 TUR589855:TUS589855 UEN589855:UEO589855 UOJ589855:UOK589855 UYF589855:UYG589855 VIB589855:VIC589855 VRX589855:VRY589855 WBT589855:WBU589855 WLP589855:WLQ589855 WVL589855:WVM589855 D655391:E655391 IZ655391:JA655391 SV655391:SW655391 ACR655391:ACS655391 AMN655391:AMO655391 AWJ655391:AWK655391 BGF655391:BGG655391 BQB655391:BQC655391 BZX655391:BZY655391 CJT655391:CJU655391 CTP655391:CTQ655391 DDL655391:DDM655391 DNH655391:DNI655391 DXD655391:DXE655391 EGZ655391:EHA655391 EQV655391:EQW655391 FAR655391:FAS655391 FKN655391:FKO655391 FUJ655391:FUK655391 GEF655391:GEG655391 GOB655391:GOC655391 GXX655391:GXY655391 HHT655391:HHU655391 HRP655391:HRQ655391 IBL655391:IBM655391 ILH655391:ILI655391 IVD655391:IVE655391 JEZ655391:JFA655391 JOV655391:JOW655391 JYR655391:JYS655391 KIN655391:KIO655391 KSJ655391:KSK655391 LCF655391:LCG655391 LMB655391:LMC655391 LVX655391:LVY655391 MFT655391:MFU655391 MPP655391:MPQ655391 MZL655391:MZM655391 NJH655391:NJI655391 NTD655391:NTE655391 OCZ655391:ODA655391 OMV655391:OMW655391 OWR655391:OWS655391 PGN655391:PGO655391 PQJ655391:PQK655391 QAF655391:QAG655391 QKB655391:QKC655391 QTX655391:QTY655391 RDT655391:RDU655391 RNP655391:RNQ655391 RXL655391:RXM655391 SHH655391:SHI655391 SRD655391:SRE655391 TAZ655391:TBA655391 TKV655391:TKW655391 TUR655391:TUS655391 UEN655391:UEO655391 UOJ655391:UOK655391 UYF655391:UYG655391 VIB655391:VIC655391 VRX655391:VRY655391 WBT655391:WBU655391 WLP655391:WLQ655391 WVL655391:WVM655391 D720927:E720927 IZ720927:JA720927 SV720927:SW720927 ACR720927:ACS720927 AMN720927:AMO720927 AWJ720927:AWK720927 BGF720927:BGG720927 BQB720927:BQC720927 BZX720927:BZY720927 CJT720927:CJU720927 CTP720927:CTQ720927 DDL720927:DDM720927 DNH720927:DNI720927 DXD720927:DXE720927 EGZ720927:EHA720927 EQV720927:EQW720927 FAR720927:FAS720927 FKN720927:FKO720927 FUJ720927:FUK720927 GEF720927:GEG720927 GOB720927:GOC720927 GXX720927:GXY720927 HHT720927:HHU720927 HRP720927:HRQ720927 IBL720927:IBM720927 ILH720927:ILI720927 IVD720927:IVE720927 JEZ720927:JFA720927 JOV720927:JOW720927 JYR720927:JYS720927 KIN720927:KIO720927 KSJ720927:KSK720927 LCF720927:LCG720927 LMB720927:LMC720927 LVX720927:LVY720927 MFT720927:MFU720927 MPP720927:MPQ720927 MZL720927:MZM720927 NJH720927:NJI720927 NTD720927:NTE720927 OCZ720927:ODA720927 OMV720927:OMW720927 OWR720927:OWS720927 PGN720927:PGO720927 PQJ720927:PQK720927 QAF720927:QAG720927 QKB720927:QKC720927 QTX720927:QTY720927 RDT720927:RDU720927 RNP720927:RNQ720927 RXL720927:RXM720927 SHH720927:SHI720927 SRD720927:SRE720927 TAZ720927:TBA720927 TKV720927:TKW720927 TUR720927:TUS720927 UEN720927:UEO720927 UOJ720927:UOK720927 UYF720927:UYG720927 VIB720927:VIC720927 VRX720927:VRY720927 WBT720927:WBU720927 WLP720927:WLQ720927 WVL720927:WVM720927 D786463:E786463 IZ786463:JA786463 SV786463:SW786463 ACR786463:ACS786463 AMN786463:AMO786463 AWJ786463:AWK786463 BGF786463:BGG786463 BQB786463:BQC786463 BZX786463:BZY786463 CJT786463:CJU786463 CTP786463:CTQ786463 DDL786463:DDM786463 DNH786463:DNI786463 DXD786463:DXE786463 EGZ786463:EHA786463 EQV786463:EQW786463 FAR786463:FAS786463 FKN786463:FKO786463 FUJ786463:FUK786463 GEF786463:GEG786463 GOB786463:GOC786463 GXX786463:GXY786463 HHT786463:HHU786463 HRP786463:HRQ786463 IBL786463:IBM786463 ILH786463:ILI786463 IVD786463:IVE786463 JEZ786463:JFA786463 JOV786463:JOW786463 JYR786463:JYS786463 KIN786463:KIO786463 KSJ786463:KSK786463 LCF786463:LCG786463 LMB786463:LMC786463 LVX786463:LVY786463 MFT786463:MFU786463 MPP786463:MPQ786463 MZL786463:MZM786463 NJH786463:NJI786463 NTD786463:NTE786463 OCZ786463:ODA786463 OMV786463:OMW786463 OWR786463:OWS786463 PGN786463:PGO786463 PQJ786463:PQK786463 QAF786463:QAG786463 QKB786463:QKC786463 QTX786463:QTY786463 RDT786463:RDU786463 RNP786463:RNQ786463 RXL786463:RXM786463 SHH786463:SHI786463 SRD786463:SRE786463 TAZ786463:TBA786463 TKV786463:TKW786463 TUR786463:TUS786463 UEN786463:UEO786463 UOJ786463:UOK786463 UYF786463:UYG786463 VIB786463:VIC786463 VRX786463:VRY786463 WBT786463:WBU786463 WLP786463:WLQ786463 WVL786463:WVM786463 D851999:E851999 IZ851999:JA851999 SV851999:SW851999 ACR851999:ACS851999 AMN851999:AMO851999 AWJ851999:AWK851999 BGF851999:BGG851999 BQB851999:BQC851999 BZX851999:BZY851999 CJT851999:CJU851999 CTP851999:CTQ851999 DDL851999:DDM851999 DNH851999:DNI851999 DXD851999:DXE851999 EGZ851999:EHA851999 EQV851999:EQW851999 FAR851999:FAS851999 FKN851999:FKO851999 FUJ851999:FUK851999 GEF851999:GEG851999 GOB851999:GOC851999 GXX851999:GXY851999 HHT851999:HHU851999 HRP851999:HRQ851999 IBL851999:IBM851999 ILH851999:ILI851999 IVD851999:IVE851999 JEZ851999:JFA851999 JOV851999:JOW851999 JYR851999:JYS851999 KIN851999:KIO851999 KSJ851999:KSK851999 LCF851999:LCG851999 LMB851999:LMC851999 LVX851999:LVY851999 MFT851999:MFU851999 MPP851999:MPQ851999 MZL851999:MZM851999 NJH851999:NJI851999 NTD851999:NTE851999 OCZ851999:ODA851999 OMV851999:OMW851999 OWR851999:OWS851999 PGN851999:PGO851999 PQJ851999:PQK851999 QAF851999:QAG851999 QKB851999:QKC851999 QTX851999:QTY851999 RDT851999:RDU851999 RNP851999:RNQ851999 RXL851999:RXM851999 SHH851999:SHI851999 SRD851999:SRE851999 TAZ851999:TBA851999 TKV851999:TKW851999 TUR851999:TUS851999 UEN851999:UEO851999 UOJ851999:UOK851999 UYF851999:UYG851999 VIB851999:VIC851999 VRX851999:VRY851999 WBT851999:WBU851999 WLP851999:WLQ851999 WVL851999:WVM851999 D917535:E917535 IZ917535:JA917535 SV917535:SW917535 ACR917535:ACS917535 AMN917535:AMO917535 AWJ917535:AWK917535 BGF917535:BGG917535 BQB917535:BQC917535 BZX917535:BZY917535 CJT917535:CJU917535 CTP917535:CTQ917535 DDL917535:DDM917535 DNH917535:DNI917535 DXD917535:DXE917535 EGZ917535:EHA917535 EQV917535:EQW917535 FAR917535:FAS917535 FKN917535:FKO917535 FUJ917535:FUK917535 GEF917535:GEG917535 GOB917535:GOC917535 GXX917535:GXY917535 HHT917535:HHU917535 HRP917535:HRQ917535 IBL917535:IBM917535 ILH917535:ILI917535 IVD917535:IVE917535 JEZ917535:JFA917535 JOV917535:JOW917535 JYR917535:JYS917535 KIN917535:KIO917535 KSJ917535:KSK917535 LCF917535:LCG917535 LMB917535:LMC917535 LVX917535:LVY917535 MFT917535:MFU917535 MPP917535:MPQ917535 MZL917535:MZM917535 NJH917535:NJI917535 NTD917535:NTE917535 OCZ917535:ODA917535 OMV917535:OMW917535 OWR917535:OWS917535 PGN917535:PGO917535 PQJ917535:PQK917535 QAF917535:QAG917535 QKB917535:QKC917535 QTX917535:QTY917535 RDT917535:RDU917535 RNP917535:RNQ917535 RXL917535:RXM917535 SHH917535:SHI917535 SRD917535:SRE917535 TAZ917535:TBA917535 TKV917535:TKW917535 TUR917535:TUS917535 UEN917535:UEO917535 UOJ917535:UOK917535 UYF917535:UYG917535 VIB917535:VIC917535 VRX917535:VRY917535 WBT917535:WBU917535 WLP917535:WLQ917535 WVL917535:WVM917535 D983071:E983071 IZ983071:JA983071 SV983071:SW983071 ACR983071:ACS983071 AMN983071:AMO983071 AWJ983071:AWK983071 BGF983071:BGG983071 BQB983071:BQC983071 BZX983071:BZY983071 CJT983071:CJU983071 CTP983071:CTQ983071 DDL983071:DDM983071 DNH983071:DNI983071 DXD983071:DXE983071 EGZ983071:EHA983071 EQV983071:EQW983071 FAR983071:FAS983071 FKN983071:FKO983071 FUJ983071:FUK983071 GEF983071:GEG983071 GOB983071:GOC983071 GXX983071:GXY983071 HHT983071:HHU983071 HRP983071:HRQ983071 IBL983071:IBM983071 ILH983071:ILI983071 IVD983071:IVE983071 JEZ983071:JFA983071 JOV983071:JOW983071 JYR983071:JYS983071 KIN983071:KIO983071 KSJ983071:KSK983071 LCF983071:LCG983071 LMB983071:LMC983071 LVX983071:LVY983071 MFT983071:MFU983071 MPP983071:MPQ983071 MZL983071:MZM983071 NJH983071:NJI983071 NTD983071:NTE983071 OCZ983071:ODA983071 OMV983071:OMW983071 OWR983071:OWS983071 PGN983071:PGO983071 PQJ983071:PQK983071 QAF983071:QAG983071 QKB983071:QKC983071 QTX983071:QTY983071 RDT983071:RDU983071 RNP983071:RNQ983071 RXL983071:RXM983071 SHH983071:SHI983071 SRD983071:SRE983071 TAZ983071:TBA983071 TKV983071:TKW983071 TUR983071:TUS983071 UEN983071:UEO983071 UOJ983071:UOK983071 UYF983071:UYG983071 VIB983071:VIC983071 VRX983071:VRY983071 WBT983071:WBU983071 WLP983071:WLQ983071 WVL983071:WVM983071" xr:uid="{697AA48E-5C53-4195-B841-61AE36E9C497}">
      <formula1>Fuel_Type</formula1>
    </dataValidation>
    <dataValidation type="list" allowBlank="1" showInputMessage="1" showErrorMessage="1" sqref="J29 JF29 TB29 ACX29 AMT29 AWP29 BGL29 BQH29 CAD29 CJZ29 CTV29 DDR29 DNN29 DXJ29 EHF29 ERB29 FAX29 FKT29 FUP29 GEL29 GOH29 GYD29 HHZ29 HRV29 IBR29 ILN29 IVJ29 JFF29 JPB29 JYX29 KIT29 KSP29 LCL29 LMH29 LWD29 MFZ29 MPV29 MZR29 NJN29 NTJ29 ODF29 ONB29 OWX29 PGT29 PQP29 QAL29 QKH29 QUD29 RDZ29 RNV29 RXR29 SHN29 SRJ29 TBF29 TLB29 TUX29 UET29 UOP29 UYL29 VIH29 VSD29 WBZ29 WLV29 WVR29 J65565 JF65565 TB65565 ACX65565 AMT65565 AWP65565 BGL65565 BQH65565 CAD65565 CJZ65565 CTV65565 DDR65565 DNN65565 DXJ65565 EHF65565 ERB65565 FAX65565 FKT65565 FUP65565 GEL65565 GOH65565 GYD65565 HHZ65565 HRV65565 IBR65565 ILN65565 IVJ65565 JFF65565 JPB65565 JYX65565 KIT65565 KSP65565 LCL65565 LMH65565 LWD65565 MFZ65565 MPV65565 MZR65565 NJN65565 NTJ65565 ODF65565 ONB65565 OWX65565 PGT65565 PQP65565 QAL65565 QKH65565 QUD65565 RDZ65565 RNV65565 RXR65565 SHN65565 SRJ65565 TBF65565 TLB65565 TUX65565 UET65565 UOP65565 UYL65565 VIH65565 VSD65565 WBZ65565 WLV65565 WVR65565 J131101 JF131101 TB131101 ACX131101 AMT131101 AWP131101 BGL131101 BQH131101 CAD131101 CJZ131101 CTV131101 DDR131101 DNN131101 DXJ131101 EHF131101 ERB131101 FAX131101 FKT131101 FUP131101 GEL131101 GOH131101 GYD131101 HHZ131101 HRV131101 IBR131101 ILN131101 IVJ131101 JFF131101 JPB131101 JYX131101 KIT131101 KSP131101 LCL131101 LMH131101 LWD131101 MFZ131101 MPV131101 MZR131101 NJN131101 NTJ131101 ODF131101 ONB131101 OWX131101 PGT131101 PQP131101 QAL131101 QKH131101 QUD131101 RDZ131101 RNV131101 RXR131101 SHN131101 SRJ131101 TBF131101 TLB131101 TUX131101 UET131101 UOP131101 UYL131101 VIH131101 VSD131101 WBZ131101 WLV131101 WVR131101 J196637 JF196637 TB196637 ACX196637 AMT196637 AWP196637 BGL196637 BQH196637 CAD196637 CJZ196637 CTV196637 DDR196637 DNN196637 DXJ196637 EHF196637 ERB196637 FAX196637 FKT196637 FUP196637 GEL196637 GOH196637 GYD196637 HHZ196637 HRV196637 IBR196637 ILN196637 IVJ196637 JFF196637 JPB196637 JYX196637 KIT196637 KSP196637 LCL196637 LMH196637 LWD196637 MFZ196637 MPV196637 MZR196637 NJN196637 NTJ196637 ODF196637 ONB196637 OWX196637 PGT196637 PQP196637 QAL196637 QKH196637 QUD196637 RDZ196637 RNV196637 RXR196637 SHN196637 SRJ196637 TBF196637 TLB196637 TUX196637 UET196637 UOP196637 UYL196637 VIH196637 VSD196637 WBZ196637 WLV196637 WVR196637 J262173 JF262173 TB262173 ACX262173 AMT262173 AWP262173 BGL262173 BQH262173 CAD262173 CJZ262173 CTV262173 DDR262173 DNN262173 DXJ262173 EHF262173 ERB262173 FAX262173 FKT262173 FUP262173 GEL262173 GOH262173 GYD262173 HHZ262173 HRV262173 IBR262173 ILN262173 IVJ262173 JFF262173 JPB262173 JYX262173 KIT262173 KSP262173 LCL262173 LMH262173 LWD262173 MFZ262173 MPV262173 MZR262173 NJN262173 NTJ262173 ODF262173 ONB262173 OWX262173 PGT262173 PQP262173 QAL262173 QKH262173 QUD262173 RDZ262173 RNV262173 RXR262173 SHN262173 SRJ262173 TBF262173 TLB262173 TUX262173 UET262173 UOP262173 UYL262173 VIH262173 VSD262173 WBZ262173 WLV262173 WVR262173 J327709 JF327709 TB327709 ACX327709 AMT327709 AWP327709 BGL327709 BQH327709 CAD327709 CJZ327709 CTV327709 DDR327709 DNN327709 DXJ327709 EHF327709 ERB327709 FAX327709 FKT327709 FUP327709 GEL327709 GOH327709 GYD327709 HHZ327709 HRV327709 IBR327709 ILN327709 IVJ327709 JFF327709 JPB327709 JYX327709 KIT327709 KSP327709 LCL327709 LMH327709 LWD327709 MFZ327709 MPV327709 MZR327709 NJN327709 NTJ327709 ODF327709 ONB327709 OWX327709 PGT327709 PQP327709 QAL327709 QKH327709 QUD327709 RDZ327709 RNV327709 RXR327709 SHN327709 SRJ327709 TBF327709 TLB327709 TUX327709 UET327709 UOP327709 UYL327709 VIH327709 VSD327709 WBZ327709 WLV327709 WVR327709 J393245 JF393245 TB393245 ACX393245 AMT393245 AWP393245 BGL393245 BQH393245 CAD393245 CJZ393245 CTV393245 DDR393245 DNN393245 DXJ393245 EHF393245 ERB393245 FAX393245 FKT393245 FUP393245 GEL393245 GOH393245 GYD393245 HHZ393245 HRV393245 IBR393245 ILN393245 IVJ393245 JFF393245 JPB393245 JYX393245 KIT393245 KSP393245 LCL393245 LMH393245 LWD393245 MFZ393245 MPV393245 MZR393245 NJN393245 NTJ393245 ODF393245 ONB393245 OWX393245 PGT393245 PQP393245 QAL393245 QKH393245 QUD393245 RDZ393245 RNV393245 RXR393245 SHN393245 SRJ393245 TBF393245 TLB393245 TUX393245 UET393245 UOP393245 UYL393245 VIH393245 VSD393245 WBZ393245 WLV393245 WVR393245 J458781 JF458781 TB458781 ACX458781 AMT458781 AWP458781 BGL458781 BQH458781 CAD458781 CJZ458781 CTV458781 DDR458781 DNN458781 DXJ458781 EHF458781 ERB458781 FAX458781 FKT458781 FUP458781 GEL458781 GOH458781 GYD458781 HHZ458781 HRV458781 IBR458781 ILN458781 IVJ458781 JFF458781 JPB458781 JYX458781 KIT458781 KSP458781 LCL458781 LMH458781 LWD458781 MFZ458781 MPV458781 MZR458781 NJN458781 NTJ458781 ODF458781 ONB458781 OWX458781 PGT458781 PQP458781 QAL458781 QKH458781 QUD458781 RDZ458781 RNV458781 RXR458781 SHN458781 SRJ458781 TBF458781 TLB458781 TUX458781 UET458781 UOP458781 UYL458781 VIH458781 VSD458781 WBZ458781 WLV458781 WVR458781 J524317 JF524317 TB524317 ACX524317 AMT524317 AWP524317 BGL524317 BQH524317 CAD524317 CJZ524317 CTV524317 DDR524317 DNN524317 DXJ524317 EHF524317 ERB524317 FAX524317 FKT524317 FUP524317 GEL524317 GOH524317 GYD524317 HHZ524317 HRV524317 IBR524317 ILN524317 IVJ524317 JFF524317 JPB524317 JYX524317 KIT524317 KSP524317 LCL524317 LMH524317 LWD524317 MFZ524317 MPV524317 MZR524317 NJN524317 NTJ524317 ODF524317 ONB524317 OWX524317 PGT524317 PQP524317 QAL524317 QKH524317 QUD524317 RDZ524317 RNV524317 RXR524317 SHN524317 SRJ524317 TBF524317 TLB524317 TUX524317 UET524317 UOP524317 UYL524317 VIH524317 VSD524317 WBZ524317 WLV524317 WVR524317 J589853 JF589853 TB589853 ACX589853 AMT589853 AWP589853 BGL589853 BQH589853 CAD589853 CJZ589853 CTV589853 DDR589853 DNN589853 DXJ589853 EHF589853 ERB589853 FAX589853 FKT589853 FUP589853 GEL589853 GOH589853 GYD589853 HHZ589853 HRV589853 IBR589853 ILN589853 IVJ589853 JFF589853 JPB589853 JYX589853 KIT589853 KSP589853 LCL589853 LMH589853 LWD589853 MFZ589853 MPV589853 MZR589853 NJN589853 NTJ589853 ODF589853 ONB589853 OWX589853 PGT589853 PQP589853 QAL589853 QKH589853 QUD589853 RDZ589853 RNV589853 RXR589853 SHN589853 SRJ589853 TBF589853 TLB589853 TUX589853 UET589853 UOP589853 UYL589853 VIH589853 VSD589853 WBZ589853 WLV589853 WVR589853 J655389 JF655389 TB655389 ACX655389 AMT655389 AWP655389 BGL655389 BQH655389 CAD655389 CJZ655389 CTV655389 DDR655389 DNN655389 DXJ655389 EHF655389 ERB655389 FAX655389 FKT655389 FUP655389 GEL655389 GOH655389 GYD655389 HHZ655389 HRV655389 IBR655389 ILN655389 IVJ655389 JFF655389 JPB655389 JYX655389 KIT655389 KSP655389 LCL655389 LMH655389 LWD655389 MFZ655389 MPV655389 MZR655389 NJN655389 NTJ655389 ODF655389 ONB655389 OWX655389 PGT655389 PQP655389 QAL655389 QKH655389 QUD655389 RDZ655389 RNV655389 RXR655389 SHN655389 SRJ655389 TBF655389 TLB655389 TUX655389 UET655389 UOP655389 UYL655389 VIH655389 VSD655389 WBZ655389 WLV655389 WVR655389 J720925 JF720925 TB720925 ACX720925 AMT720925 AWP720925 BGL720925 BQH720925 CAD720925 CJZ720925 CTV720925 DDR720925 DNN720925 DXJ720925 EHF720925 ERB720925 FAX720925 FKT720925 FUP720925 GEL720925 GOH720925 GYD720925 HHZ720925 HRV720925 IBR720925 ILN720925 IVJ720925 JFF720925 JPB720925 JYX720925 KIT720925 KSP720925 LCL720925 LMH720925 LWD720925 MFZ720925 MPV720925 MZR720925 NJN720925 NTJ720925 ODF720925 ONB720925 OWX720925 PGT720925 PQP720925 QAL720925 QKH720925 QUD720925 RDZ720925 RNV720925 RXR720925 SHN720925 SRJ720925 TBF720925 TLB720925 TUX720925 UET720925 UOP720925 UYL720925 VIH720925 VSD720925 WBZ720925 WLV720925 WVR720925 J786461 JF786461 TB786461 ACX786461 AMT786461 AWP786461 BGL786461 BQH786461 CAD786461 CJZ786461 CTV786461 DDR786461 DNN786461 DXJ786461 EHF786461 ERB786461 FAX786461 FKT786461 FUP786461 GEL786461 GOH786461 GYD786461 HHZ786461 HRV786461 IBR786461 ILN786461 IVJ786461 JFF786461 JPB786461 JYX786461 KIT786461 KSP786461 LCL786461 LMH786461 LWD786461 MFZ786461 MPV786461 MZR786461 NJN786461 NTJ786461 ODF786461 ONB786461 OWX786461 PGT786461 PQP786461 QAL786461 QKH786461 QUD786461 RDZ786461 RNV786461 RXR786461 SHN786461 SRJ786461 TBF786461 TLB786461 TUX786461 UET786461 UOP786461 UYL786461 VIH786461 VSD786461 WBZ786461 WLV786461 WVR786461 J851997 JF851997 TB851997 ACX851997 AMT851997 AWP851997 BGL851997 BQH851997 CAD851997 CJZ851997 CTV851997 DDR851997 DNN851997 DXJ851997 EHF851997 ERB851997 FAX851997 FKT851997 FUP851997 GEL851997 GOH851997 GYD851997 HHZ851997 HRV851997 IBR851997 ILN851997 IVJ851997 JFF851997 JPB851997 JYX851997 KIT851997 KSP851997 LCL851997 LMH851997 LWD851997 MFZ851997 MPV851997 MZR851997 NJN851997 NTJ851997 ODF851997 ONB851997 OWX851997 PGT851997 PQP851997 QAL851997 QKH851997 QUD851997 RDZ851997 RNV851997 RXR851997 SHN851997 SRJ851997 TBF851997 TLB851997 TUX851997 UET851997 UOP851997 UYL851997 VIH851997 VSD851997 WBZ851997 WLV851997 WVR851997 J917533 JF917533 TB917533 ACX917533 AMT917533 AWP917533 BGL917533 BQH917533 CAD917533 CJZ917533 CTV917533 DDR917533 DNN917533 DXJ917533 EHF917533 ERB917533 FAX917533 FKT917533 FUP917533 GEL917533 GOH917533 GYD917533 HHZ917533 HRV917533 IBR917533 ILN917533 IVJ917533 JFF917533 JPB917533 JYX917533 KIT917533 KSP917533 LCL917533 LMH917533 LWD917533 MFZ917533 MPV917533 MZR917533 NJN917533 NTJ917533 ODF917533 ONB917533 OWX917533 PGT917533 PQP917533 QAL917533 QKH917533 QUD917533 RDZ917533 RNV917533 RXR917533 SHN917533 SRJ917533 TBF917533 TLB917533 TUX917533 UET917533 UOP917533 UYL917533 VIH917533 VSD917533 WBZ917533 WLV917533 WVR917533 J983069 JF983069 TB983069 ACX983069 AMT983069 AWP983069 BGL983069 BQH983069 CAD983069 CJZ983069 CTV983069 DDR983069 DNN983069 DXJ983069 EHF983069 ERB983069 FAX983069 FKT983069 FUP983069 GEL983069 GOH983069 GYD983069 HHZ983069 HRV983069 IBR983069 ILN983069 IVJ983069 JFF983069 JPB983069 JYX983069 KIT983069 KSP983069 LCL983069 LMH983069 LWD983069 MFZ983069 MPV983069 MZR983069 NJN983069 NTJ983069 ODF983069 ONB983069 OWX983069 PGT983069 PQP983069 QAL983069 QKH983069 QUD983069 RDZ983069 RNV983069 RXR983069 SHN983069 SRJ983069 TBF983069 TLB983069 TUX983069 UET983069 UOP983069 UYL983069 VIH983069 VSD983069 WBZ983069 WLV983069 WVR983069 J45 JF45 TB45 ACX45 AMT45 AWP45 BGL45 BQH45 CAD45 CJZ45 CTV45 DDR45 DNN45 DXJ45 EHF45 ERB45 FAX45 FKT45 FUP45 GEL45 GOH45 GYD45 HHZ45 HRV45 IBR45 ILN45 IVJ45 JFF45 JPB45 JYX45 KIT45 KSP45 LCL45 LMH45 LWD45 MFZ45 MPV45 MZR45 NJN45 NTJ45 ODF45 ONB45 OWX45 PGT45 PQP45 QAL45 QKH45 QUD45 RDZ45 RNV45 RXR45 SHN45 SRJ45 TBF45 TLB45 TUX45 UET45 UOP45 UYL45 VIH45 VSD45 WBZ45 WLV45 WVR45 J65581 JF65581 TB65581 ACX65581 AMT65581 AWP65581 BGL65581 BQH65581 CAD65581 CJZ65581 CTV65581 DDR65581 DNN65581 DXJ65581 EHF65581 ERB65581 FAX65581 FKT65581 FUP65581 GEL65581 GOH65581 GYD65581 HHZ65581 HRV65581 IBR65581 ILN65581 IVJ65581 JFF65581 JPB65581 JYX65581 KIT65581 KSP65581 LCL65581 LMH65581 LWD65581 MFZ65581 MPV65581 MZR65581 NJN65581 NTJ65581 ODF65581 ONB65581 OWX65581 PGT65581 PQP65581 QAL65581 QKH65581 QUD65581 RDZ65581 RNV65581 RXR65581 SHN65581 SRJ65581 TBF65581 TLB65581 TUX65581 UET65581 UOP65581 UYL65581 VIH65581 VSD65581 WBZ65581 WLV65581 WVR65581 J131117 JF131117 TB131117 ACX131117 AMT131117 AWP131117 BGL131117 BQH131117 CAD131117 CJZ131117 CTV131117 DDR131117 DNN131117 DXJ131117 EHF131117 ERB131117 FAX131117 FKT131117 FUP131117 GEL131117 GOH131117 GYD131117 HHZ131117 HRV131117 IBR131117 ILN131117 IVJ131117 JFF131117 JPB131117 JYX131117 KIT131117 KSP131117 LCL131117 LMH131117 LWD131117 MFZ131117 MPV131117 MZR131117 NJN131117 NTJ131117 ODF131117 ONB131117 OWX131117 PGT131117 PQP131117 QAL131117 QKH131117 QUD131117 RDZ131117 RNV131117 RXR131117 SHN131117 SRJ131117 TBF131117 TLB131117 TUX131117 UET131117 UOP131117 UYL131117 VIH131117 VSD131117 WBZ131117 WLV131117 WVR131117 J196653 JF196653 TB196653 ACX196653 AMT196653 AWP196653 BGL196653 BQH196653 CAD196653 CJZ196653 CTV196653 DDR196653 DNN196653 DXJ196653 EHF196653 ERB196653 FAX196653 FKT196653 FUP196653 GEL196653 GOH196653 GYD196653 HHZ196653 HRV196653 IBR196653 ILN196653 IVJ196653 JFF196653 JPB196653 JYX196653 KIT196653 KSP196653 LCL196653 LMH196653 LWD196653 MFZ196653 MPV196653 MZR196653 NJN196653 NTJ196653 ODF196653 ONB196653 OWX196653 PGT196653 PQP196653 QAL196653 QKH196653 QUD196653 RDZ196653 RNV196653 RXR196653 SHN196653 SRJ196653 TBF196653 TLB196653 TUX196653 UET196653 UOP196653 UYL196653 VIH196653 VSD196653 WBZ196653 WLV196653 WVR196653 J262189 JF262189 TB262189 ACX262189 AMT262189 AWP262189 BGL262189 BQH262189 CAD262189 CJZ262189 CTV262189 DDR262189 DNN262189 DXJ262189 EHF262189 ERB262189 FAX262189 FKT262189 FUP262189 GEL262189 GOH262189 GYD262189 HHZ262189 HRV262189 IBR262189 ILN262189 IVJ262189 JFF262189 JPB262189 JYX262189 KIT262189 KSP262189 LCL262189 LMH262189 LWD262189 MFZ262189 MPV262189 MZR262189 NJN262189 NTJ262189 ODF262189 ONB262189 OWX262189 PGT262189 PQP262189 QAL262189 QKH262189 QUD262189 RDZ262189 RNV262189 RXR262189 SHN262189 SRJ262189 TBF262189 TLB262189 TUX262189 UET262189 UOP262189 UYL262189 VIH262189 VSD262189 WBZ262189 WLV262189 WVR262189 J327725 JF327725 TB327725 ACX327725 AMT327725 AWP327725 BGL327725 BQH327725 CAD327725 CJZ327725 CTV327725 DDR327725 DNN327725 DXJ327725 EHF327725 ERB327725 FAX327725 FKT327725 FUP327725 GEL327725 GOH327725 GYD327725 HHZ327725 HRV327725 IBR327725 ILN327725 IVJ327725 JFF327725 JPB327725 JYX327725 KIT327725 KSP327725 LCL327725 LMH327725 LWD327725 MFZ327725 MPV327725 MZR327725 NJN327725 NTJ327725 ODF327725 ONB327725 OWX327725 PGT327725 PQP327725 QAL327725 QKH327725 QUD327725 RDZ327725 RNV327725 RXR327725 SHN327725 SRJ327725 TBF327725 TLB327725 TUX327725 UET327725 UOP327725 UYL327725 VIH327725 VSD327725 WBZ327725 WLV327725 WVR327725 J393261 JF393261 TB393261 ACX393261 AMT393261 AWP393261 BGL393261 BQH393261 CAD393261 CJZ393261 CTV393261 DDR393261 DNN393261 DXJ393261 EHF393261 ERB393261 FAX393261 FKT393261 FUP393261 GEL393261 GOH393261 GYD393261 HHZ393261 HRV393261 IBR393261 ILN393261 IVJ393261 JFF393261 JPB393261 JYX393261 KIT393261 KSP393261 LCL393261 LMH393261 LWD393261 MFZ393261 MPV393261 MZR393261 NJN393261 NTJ393261 ODF393261 ONB393261 OWX393261 PGT393261 PQP393261 QAL393261 QKH393261 QUD393261 RDZ393261 RNV393261 RXR393261 SHN393261 SRJ393261 TBF393261 TLB393261 TUX393261 UET393261 UOP393261 UYL393261 VIH393261 VSD393261 WBZ393261 WLV393261 WVR393261 J458797 JF458797 TB458797 ACX458797 AMT458797 AWP458797 BGL458797 BQH458797 CAD458797 CJZ458797 CTV458797 DDR458797 DNN458797 DXJ458797 EHF458797 ERB458797 FAX458797 FKT458797 FUP458797 GEL458797 GOH458797 GYD458797 HHZ458797 HRV458797 IBR458797 ILN458797 IVJ458797 JFF458797 JPB458797 JYX458797 KIT458797 KSP458797 LCL458797 LMH458797 LWD458797 MFZ458797 MPV458797 MZR458797 NJN458797 NTJ458797 ODF458797 ONB458797 OWX458797 PGT458797 PQP458797 QAL458797 QKH458797 QUD458797 RDZ458797 RNV458797 RXR458797 SHN458797 SRJ458797 TBF458797 TLB458797 TUX458797 UET458797 UOP458797 UYL458797 VIH458797 VSD458797 WBZ458797 WLV458797 WVR458797 J524333 JF524333 TB524333 ACX524333 AMT524333 AWP524333 BGL524333 BQH524333 CAD524333 CJZ524333 CTV524333 DDR524333 DNN524333 DXJ524333 EHF524333 ERB524333 FAX524333 FKT524333 FUP524333 GEL524333 GOH524333 GYD524333 HHZ524333 HRV524333 IBR524333 ILN524333 IVJ524333 JFF524333 JPB524333 JYX524333 KIT524333 KSP524333 LCL524333 LMH524333 LWD524333 MFZ524333 MPV524333 MZR524333 NJN524333 NTJ524333 ODF524333 ONB524333 OWX524333 PGT524333 PQP524333 QAL524333 QKH524333 QUD524333 RDZ524333 RNV524333 RXR524333 SHN524333 SRJ524333 TBF524333 TLB524333 TUX524333 UET524333 UOP524333 UYL524333 VIH524333 VSD524333 WBZ524333 WLV524333 WVR524333 J589869 JF589869 TB589869 ACX589869 AMT589869 AWP589869 BGL589869 BQH589869 CAD589869 CJZ589869 CTV589869 DDR589869 DNN589869 DXJ589869 EHF589869 ERB589869 FAX589869 FKT589869 FUP589869 GEL589869 GOH589869 GYD589869 HHZ589869 HRV589869 IBR589869 ILN589869 IVJ589869 JFF589869 JPB589869 JYX589869 KIT589869 KSP589869 LCL589869 LMH589869 LWD589869 MFZ589869 MPV589869 MZR589869 NJN589869 NTJ589869 ODF589869 ONB589869 OWX589869 PGT589869 PQP589869 QAL589869 QKH589869 QUD589869 RDZ589869 RNV589869 RXR589869 SHN589869 SRJ589869 TBF589869 TLB589869 TUX589869 UET589869 UOP589869 UYL589869 VIH589869 VSD589869 WBZ589869 WLV589869 WVR589869 J655405 JF655405 TB655405 ACX655405 AMT655405 AWP655405 BGL655405 BQH655405 CAD655405 CJZ655405 CTV655405 DDR655405 DNN655405 DXJ655405 EHF655405 ERB655405 FAX655405 FKT655405 FUP655405 GEL655405 GOH655405 GYD655405 HHZ655405 HRV655405 IBR655405 ILN655405 IVJ655405 JFF655405 JPB655405 JYX655405 KIT655405 KSP655405 LCL655405 LMH655405 LWD655405 MFZ655405 MPV655405 MZR655405 NJN655405 NTJ655405 ODF655405 ONB655405 OWX655405 PGT655405 PQP655405 QAL655405 QKH655405 QUD655405 RDZ655405 RNV655405 RXR655405 SHN655405 SRJ655405 TBF655405 TLB655405 TUX655405 UET655405 UOP655405 UYL655405 VIH655405 VSD655405 WBZ655405 WLV655405 WVR655405 J720941 JF720941 TB720941 ACX720941 AMT720941 AWP720941 BGL720941 BQH720941 CAD720941 CJZ720941 CTV720941 DDR720941 DNN720941 DXJ720941 EHF720941 ERB720941 FAX720941 FKT720941 FUP720941 GEL720941 GOH720941 GYD720941 HHZ720941 HRV720941 IBR720941 ILN720941 IVJ720941 JFF720941 JPB720941 JYX720941 KIT720941 KSP720941 LCL720941 LMH720941 LWD720941 MFZ720941 MPV720941 MZR720941 NJN720941 NTJ720941 ODF720941 ONB720941 OWX720941 PGT720941 PQP720941 QAL720941 QKH720941 QUD720941 RDZ720941 RNV720941 RXR720941 SHN720941 SRJ720941 TBF720941 TLB720941 TUX720941 UET720941 UOP720941 UYL720941 VIH720941 VSD720941 WBZ720941 WLV720941 WVR720941 J786477 JF786477 TB786477 ACX786477 AMT786477 AWP786477 BGL786477 BQH786477 CAD786477 CJZ786477 CTV786477 DDR786477 DNN786477 DXJ786477 EHF786477 ERB786477 FAX786477 FKT786477 FUP786477 GEL786477 GOH786477 GYD786477 HHZ786477 HRV786477 IBR786477 ILN786477 IVJ786477 JFF786477 JPB786477 JYX786477 KIT786477 KSP786477 LCL786477 LMH786477 LWD786477 MFZ786477 MPV786477 MZR786477 NJN786477 NTJ786477 ODF786477 ONB786477 OWX786477 PGT786477 PQP786477 QAL786477 QKH786477 QUD786477 RDZ786477 RNV786477 RXR786477 SHN786477 SRJ786477 TBF786477 TLB786477 TUX786477 UET786477 UOP786477 UYL786477 VIH786477 VSD786477 WBZ786477 WLV786477 WVR786477 J852013 JF852013 TB852013 ACX852013 AMT852013 AWP852013 BGL852013 BQH852013 CAD852013 CJZ852013 CTV852013 DDR852013 DNN852013 DXJ852013 EHF852013 ERB852013 FAX852013 FKT852013 FUP852013 GEL852013 GOH852013 GYD852013 HHZ852013 HRV852013 IBR852013 ILN852013 IVJ852013 JFF852013 JPB852013 JYX852013 KIT852013 KSP852013 LCL852013 LMH852013 LWD852013 MFZ852013 MPV852013 MZR852013 NJN852013 NTJ852013 ODF852013 ONB852013 OWX852013 PGT852013 PQP852013 QAL852013 QKH852013 QUD852013 RDZ852013 RNV852013 RXR852013 SHN852013 SRJ852013 TBF852013 TLB852013 TUX852013 UET852013 UOP852013 UYL852013 VIH852013 VSD852013 WBZ852013 WLV852013 WVR852013 J917549 JF917549 TB917549 ACX917549 AMT917549 AWP917549 BGL917549 BQH917549 CAD917549 CJZ917549 CTV917549 DDR917549 DNN917549 DXJ917549 EHF917549 ERB917549 FAX917549 FKT917549 FUP917549 GEL917549 GOH917549 GYD917549 HHZ917549 HRV917549 IBR917549 ILN917549 IVJ917549 JFF917549 JPB917549 JYX917549 KIT917549 KSP917549 LCL917549 LMH917549 LWD917549 MFZ917549 MPV917549 MZR917549 NJN917549 NTJ917549 ODF917549 ONB917549 OWX917549 PGT917549 PQP917549 QAL917549 QKH917549 QUD917549 RDZ917549 RNV917549 RXR917549 SHN917549 SRJ917549 TBF917549 TLB917549 TUX917549 UET917549 UOP917549 UYL917549 VIH917549 VSD917549 WBZ917549 WLV917549 WVR917549 J983085 JF983085 TB983085 ACX983085 AMT983085 AWP983085 BGL983085 BQH983085 CAD983085 CJZ983085 CTV983085 DDR983085 DNN983085 DXJ983085 EHF983085 ERB983085 FAX983085 FKT983085 FUP983085 GEL983085 GOH983085 GYD983085 HHZ983085 HRV983085 IBR983085 ILN983085 IVJ983085 JFF983085 JPB983085 JYX983085 KIT983085 KSP983085 LCL983085 LMH983085 LWD983085 MFZ983085 MPV983085 MZR983085 NJN983085 NTJ983085 ODF983085 ONB983085 OWX983085 PGT983085 PQP983085 QAL983085 QKH983085 QUD983085 RDZ983085 RNV983085 RXR983085 SHN983085 SRJ983085 TBF983085 TLB983085 TUX983085 UET983085 UOP983085 UYL983085 VIH983085 VSD983085 WBZ983085 WLV983085 WVR983085 J61 JF61 TB61 ACX61 AMT61 AWP61 BGL61 BQH61 CAD61 CJZ61 CTV61 DDR61 DNN61 DXJ61 EHF61 ERB61 FAX61 FKT61 FUP61 GEL61 GOH61 GYD61 HHZ61 HRV61 IBR61 ILN61 IVJ61 JFF61 JPB61 JYX61 KIT61 KSP61 LCL61 LMH61 LWD61 MFZ61 MPV61 MZR61 NJN61 NTJ61 ODF61 ONB61 OWX61 PGT61 PQP61 QAL61 QKH61 QUD61 RDZ61 RNV61 RXR61 SHN61 SRJ61 TBF61 TLB61 TUX61 UET61 UOP61 UYL61 VIH61 VSD61 WBZ61 WLV61 WVR61 J65597 JF65597 TB65597 ACX65597 AMT65597 AWP65597 BGL65597 BQH65597 CAD65597 CJZ65597 CTV65597 DDR65597 DNN65597 DXJ65597 EHF65597 ERB65597 FAX65597 FKT65597 FUP65597 GEL65597 GOH65597 GYD65597 HHZ65597 HRV65597 IBR65597 ILN65597 IVJ65597 JFF65597 JPB65597 JYX65597 KIT65597 KSP65597 LCL65597 LMH65597 LWD65597 MFZ65597 MPV65597 MZR65597 NJN65597 NTJ65597 ODF65597 ONB65597 OWX65597 PGT65597 PQP65597 QAL65597 QKH65597 QUD65597 RDZ65597 RNV65597 RXR65597 SHN65597 SRJ65597 TBF65597 TLB65597 TUX65597 UET65597 UOP65597 UYL65597 VIH65597 VSD65597 WBZ65597 WLV65597 WVR65597 J131133 JF131133 TB131133 ACX131133 AMT131133 AWP131133 BGL131133 BQH131133 CAD131133 CJZ131133 CTV131133 DDR131133 DNN131133 DXJ131133 EHF131133 ERB131133 FAX131133 FKT131133 FUP131133 GEL131133 GOH131133 GYD131133 HHZ131133 HRV131133 IBR131133 ILN131133 IVJ131133 JFF131133 JPB131133 JYX131133 KIT131133 KSP131133 LCL131133 LMH131133 LWD131133 MFZ131133 MPV131133 MZR131133 NJN131133 NTJ131133 ODF131133 ONB131133 OWX131133 PGT131133 PQP131133 QAL131133 QKH131133 QUD131133 RDZ131133 RNV131133 RXR131133 SHN131133 SRJ131133 TBF131133 TLB131133 TUX131133 UET131133 UOP131133 UYL131133 VIH131133 VSD131133 WBZ131133 WLV131133 WVR131133 J196669 JF196669 TB196669 ACX196669 AMT196669 AWP196669 BGL196669 BQH196669 CAD196669 CJZ196669 CTV196669 DDR196669 DNN196669 DXJ196669 EHF196669 ERB196669 FAX196669 FKT196669 FUP196669 GEL196669 GOH196669 GYD196669 HHZ196669 HRV196669 IBR196669 ILN196669 IVJ196669 JFF196669 JPB196669 JYX196669 KIT196669 KSP196669 LCL196669 LMH196669 LWD196669 MFZ196669 MPV196669 MZR196669 NJN196669 NTJ196669 ODF196669 ONB196669 OWX196669 PGT196669 PQP196669 QAL196669 QKH196669 QUD196669 RDZ196669 RNV196669 RXR196669 SHN196669 SRJ196669 TBF196669 TLB196669 TUX196669 UET196669 UOP196669 UYL196669 VIH196669 VSD196669 WBZ196669 WLV196669 WVR196669 J262205 JF262205 TB262205 ACX262205 AMT262205 AWP262205 BGL262205 BQH262205 CAD262205 CJZ262205 CTV262205 DDR262205 DNN262205 DXJ262205 EHF262205 ERB262205 FAX262205 FKT262205 FUP262205 GEL262205 GOH262205 GYD262205 HHZ262205 HRV262205 IBR262205 ILN262205 IVJ262205 JFF262205 JPB262205 JYX262205 KIT262205 KSP262205 LCL262205 LMH262205 LWD262205 MFZ262205 MPV262205 MZR262205 NJN262205 NTJ262205 ODF262205 ONB262205 OWX262205 PGT262205 PQP262205 QAL262205 QKH262205 QUD262205 RDZ262205 RNV262205 RXR262205 SHN262205 SRJ262205 TBF262205 TLB262205 TUX262205 UET262205 UOP262205 UYL262205 VIH262205 VSD262205 WBZ262205 WLV262205 WVR262205 J327741 JF327741 TB327741 ACX327741 AMT327741 AWP327741 BGL327741 BQH327741 CAD327741 CJZ327741 CTV327741 DDR327741 DNN327741 DXJ327741 EHF327741 ERB327741 FAX327741 FKT327741 FUP327741 GEL327741 GOH327741 GYD327741 HHZ327741 HRV327741 IBR327741 ILN327741 IVJ327741 JFF327741 JPB327741 JYX327741 KIT327741 KSP327741 LCL327741 LMH327741 LWD327741 MFZ327741 MPV327741 MZR327741 NJN327741 NTJ327741 ODF327741 ONB327741 OWX327741 PGT327741 PQP327741 QAL327741 QKH327741 QUD327741 RDZ327741 RNV327741 RXR327741 SHN327741 SRJ327741 TBF327741 TLB327741 TUX327741 UET327741 UOP327741 UYL327741 VIH327741 VSD327741 WBZ327741 WLV327741 WVR327741 J393277 JF393277 TB393277 ACX393277 AMT393277 AWP393277 BGL393277 BQH393277 CAD393277 CJZ393277 CTV393277 DDR393277 DNN393277 DXJ393277 EHF393277 ERB393277 FAX393277 FKT393277 FUP393277 GEL393277 GOH393277 GYD393277 HHZ393277 HRV393277 IBR393277 ILN393277 IVJ393277 JFF393277 JPB393277 JYX393277 KIT393277 KSP393277 LCL393277 LMH393277 LWD393277 MFZ393277 MPV393277 MZR393277 NJN393277 NTJ393277 ODF393277 ONB393277 OWX393277 PGT393277 PQP393277 QAL393277 QKH393277 QUD393277 RDZ393277 RNV393277 RXR393277 SHN393277 SRJ393277 TBF393277 TLB393277 TUX393277 UET393277 UOP393277 UYL393277 VIH393277 VSD393277 WBZ393277 WLV393277 WVR393277 J458813 JF458813 TB458813 ACX458813 AMT458813 AWP458813 BGL458813 BQH458813 CAD458813 CJZ458813 CTV458813 DDR458813 DNN458813 DXJ458813 EHF458813 ERB458813 FAX458813 FKT458813 FUP458813 GEL458813 GOH458813 GYD458813 HHZ458813 HRV458813 IBR458813 ILN458813 IVJ458813 JFF458813 JPB458813 JYX458813 KIT458813 KSP458813 LCL458813 LMH458813 LWD458813 MFZ458813 MPV458813 MZR458813 NJN458813 NTJ458813 ODF458813 ONB458813 OWX458813 PGT458813 PQP458813 QAL458813 QKH458813 QUD458813 RDZ458813 RNV458813 RXR458813 SHN458813 SRJ458813 TBF458813 TLB458813 TUX458813 UET458813 UOP458813 UYL458813 VIH458813 VSD458813 WBZ458813 WLV458813 WVR458813 J524349 JF524349 TB524349 ACX524349 AMT524349 AWP524349 BGL524349 BQH524349 CAD524349 CJZ524349 CTV524349 DDR524349 DNN524349 DXJ524349 EHF524349 ERB524349 FAX524349 FKT524349 FUP524349 GEL524349 GOH524349 GYD524349 HHZ524349 HRV524349 IBR524349 ILN524349 IVJ524349 JFF524349 JPB524349 JYX524349 KIT524349 KSP524349 LCL524349 LMH524349 LWD524349 MFZ524349 MPV524349 MZR524349 NJN524349 NTJ524349 ODF524349 ONB524349 OWX524349 PGT524349 PQP524349 QAL524349 QKH524349 QUD524349 RDZ524349 RNV524349 RXR524349 SHN524349 SRJ524349 TBF524349 TLB524349 TUX524349 UET524349 UOP524349 UYL524349 VIH524349 VSD524349 WBZ524349 WLV524349 WVR524349 J589885 JF589885 TB589885 ACX589885 AMT589885 AWP589885 BGL589885 BQH589885 CAD589885 CJZ589885 CTV589885 DDR589885 DNN589885 DXJ589885 EHF589885 ERB589885 FAX589885 FKT589885 FUP589885 GEL589885 GOH589885 GYD589885 HHZ589885 HRV589885 IBR589885 ILN589885 IVJ589885 JFF589885 JPB589885 JYX589885 KIT589885 KSP589885 LCL589885 LMH589885 LWD589885 MFZ589885 MPV589885 MZR589885 NJN589885 NTJ589885 ODF589885 ONB589885 OWX589885 PGT589885 PQP589885 QAL589885 QKH589885 QUD589885 RDZ589885 RNV589885 RXR589885 SHN589885 SRJ589885 TBF589885 TLB589885 TUX589885 UET589885 UOP589885 UYL589885 VIH589885 VSD589885 WBZ589885 WLV589885 WVR589885 J655421 JF655421 TB655421 ACX655421 AMT655421 AWP655421 BGL655421 BQH655421 CAD655421 CJZ655421 CTV655421 DDR655421 DNN655421 DXJ655421 EHF655421 ERB655421 FAX655421 FKT655421 FUP655421 GEL655421 GOH655421 GYD655421 HHZ655421 HRV655421 IBR655421 ILN655421 IVJ655421 JFF655421 JPB655421 JYX655421 KIT655421 KSP655421 LCL655421 LMH655421 LWD655421 MFZ655421 MPV655421 MZR655421 NJN655421 NTJ655421 ODF655421 ONB655421 OWX655421 PGT655421 PQP655421 QAL655421 QKH655421 QUD655421 RDZ655421 RNV655421 RXR655421 SHN655421 SRJ655421 TBF655421 TLB655421 TUX655421 UET655421 UOP655421 UYL655421 VIH655421 VSD655421 WBZ655421 WLV655421 WVR655421 J720957 JF720957 TB720957 ACX720957 AMT720957 AWP720957 BGL720957 BQH720957 CAD720957 CJZ720957 CTV720957 DDR720957 DNN720957 DXJ720957 EHF720957 ERB720957 FAX720957 FKT720957 FUP720957 GEL720957 GOH720957 GYD720957 HHZ720957 HRV720957 IBR720957 ILN720957 IVJ720957 JFF720957 JPB720957 JYX720957 KIT720957 KSP720957 LCL720957 LMH720957 LWD720957 MFZ720957 MPV720957 MZR720957 NJN720957 NTJ720957 ODF720957 ONB720957 OWX720957 PGT720957 PQP720957 QAL720957 QKH720957 QUD720957 RDZ720957 RNV720957 RXR720957 SHN720957 SRJ720957 TBF720957 TLB720957 TUX720957 UET720957 UOP720957 UYL720957 VIH720957 VSD720957 WBZ720957 WLV720957 WVR720957 J786493 JF786493 TB786493 ACX786493 AMT786493 AWP786493 BGL786493 BQH786493 CAD786493 CJZ786493 CTV786493 DDR786493 DNN786493 DXJ786493 EHF786493 ERB786493 FAX786493 FKT786493 FUP786493 GEL786493 GOH786493 GYD786493 HHZ786493 HRV786493 IBR786493 ILN786493 IVJ786493 JFF786493 JPB786493 JYX786493 KIT786493 KSP786493 LCL786493 LMH786493 LWD786493 MFZ786493 MPV786493 MZR786493 NJN786493 NTJ786493 ODF786493 ONB786493 OWX786493 PGT786493 PQP786493 QAL786493 QKH786493 QUD786493 RDZ786493 RNV786493 RXR786493 SHN786493 SRJ786493 TBF786493 TLB786493 TUX786493 UET786493 UOP786493 UYL786493 VIH786493 VSD786493 WBZ786493 WLV786493 WVR786493 J852029 JF852029 TB852029 ACX852029 AMT852029 AWP852029 BGL852029 BQH852029 CAD852029 CJZ852029 CTV852029 DDR852029 DNN852029 DXJ852029 EHF852029 ERB852029 FAX852029 FKT852029 FUP852029 GEL852029 GOH852029 GYD852029 HHZ852029 HRV852029 IBR852029 ILN852029 IVJ852029 JFF852029 JPB852029 JYX852029 KIT852029 KSP852029 LCL852029 LMH852029 LWD852029 MFZ852029 MPV852029 MZR852029 NJN852029 NTJ852029 ODF852029 ONB852029 OWX852029 PGT852029 PQP852029 QAL852029 QKH852029 QUD852029 RDZ852029 RNV852029 RXR852029 SHN852029 SRJ852029 TBF852029 TLB852029 TUX852029 UET852029 UOP852029 UYL852029 VIH852029 VSD852029 WBZ852029 WLV852029 WVR852029 J917565 JF917565 TB917565 ACX917565 AMT917565 AWP917565 BGL917565 BQH917565 CAD917565 CJZ917565 CTV917565 DDR917565 DNN917565 DXJ917565 EHF917565 ERB917565 FAX917565 FKT917565 FUP917565 GEL917565 GOH917565 GYD917565 HHZ917565 HRV917565 IBR917565 ILN917565 IVJ917565 JFF917565 JPB917565 JYX917565 KIT917565 KSP917565 LCL917565 LMH917565 LWD917565 MFZ917565 MPV917565 MZR917565 NJN917565 NTJ917565 ODF917565 ONB917565 OWX917565 PGT917565 PQP917565 QAL917565 QKH917565 QUD917565 RDZ917565 RNV917565 RXR917565 SHN917565 SRJ917565 TBF917565 TLB917565 TUX917565 UET917565 UOP917565 UYL917565 VIH917565 VSD917565 WBZ917565 WLV917565 WVR917565 J983101 JF983101 TB983101 ACX983101 AMT983101 AWP983101 BGL983101 BQH983101 CAD983101 CJZ983101 CTV983101 DDR983101 DNN983101 DXJ983101 EHF983101 ERB983101 FAX983101 FKT983101 FUP983101 GEL983101 GOH983101 GYD983101 HHZ983101 HRV983101 IBR983101 ILN983101 IVJ983101 JFF983101 JPB983101 JYX983101 KIT983101 KSP983101 LCL983101 LMH983101 LWD983101 MFZ983101 MPV983101 MZR983101 NJN983101 NTJ983101 ODF983101 ONB983101 OWX983101 PGT983101 PQP983101 QAL983101 QKH983101 QUD983101 RDZ983101 RNV983101 RXR983101 SHN983101 SRJ983101 TBF983101 TLB983101 TUX983101 UET983101 UOP983101 UYL983101 VIH983101 VSD983101 WBZ983101 WLV983101 WVR983101" xr:uid="{4E8DC219-282A-41C3-A0F1-F14F82EF577A}">
      <formula1>Venting</formula1>
    </dataValidation>
    <dataValidation type="list" allowBlank="1" showInputMessage="1" showErrorMessage="1" sqref="J30 JF30 TB30 ACX30 AMT30 AWP30 BGL30 BQH30 CAD30 CJZ30 CTV30 DDR30 DNN30 DXJ30 EHF30 ERB30 FAX30 FKT30 FUP30 GEL30 GOH30 GYD30 HHZ30 HRV30 IBR30 ILN30 IVJ30 JFF30 JPB30 JYX30 KIT30 KSP30 LCL30 LMH30 LWD30 MFZ30 MPV30 MZR30 NJN30 NTJ30 ODF30 ONB30 OWX30 PGT30 PQP30 QAL30 QKH30 QUD30 RDZ30 RNV30 RXR30 SHN30 SRJ30 TBF30 TLB30 TUX30 UET30 UOP30 UYL30 VIH30 VSD30 WBZ30 WLV30 WVR30 J65566 JF65566 TB65566 ACX65566 AMT65566 AWP65566 BGL65566 BQH65566 CAD65566 CJZ65566 CTV65566 DDR65566 DNN65566 DXJ65566 EHF65566 ERB65566 FAX65566 FKT65566 FUP65566 GEL65566 GOH65566 GYD65566 HHZ65566 HRV65566 IBR65566 ILN65566 IVJ65566 JFF65566 JPB65566 JYX65566 KIT65566 KSP65566 LCL65566 LMH65566 LWD65566 MFZ65566 MPV65566 MZR65566 NJN65566 NTJ65566 ODF65566 ONB65566 OWX65566 PGT65566 PQP65566 QAL65566 QKH65566 QUD65566 RDZ65566 RNV65566 RXR65566 SHN65566 SRJ65566 TBF65566 TLB65566 TUX65566 UET65566 UOP65566 UYL65566 VIH65566 VSD65566 WBZ65566 WLV65566 WVR65566 J131102 JF131102 TB131102 ACX131102 AMT131102 AWP131102 BGL131102 BQH131102 CAD131102 CJZ131102 CTV131102 DDR131102 DNN131102 DXJ131102 EHF131102 ERB131102 FAX131102 FKT131102 FUP131102 GEL131102 GOH131102 GYD131102 HHZ131102 HRV131102 IBR131102 ILN131102 IVJ131102 JFF131102 JPB131102 JYX131102 KIT131102 KSP131102 LCL131102 LMH131102 LWD131102 MFZ131102 MPV131102 MZR131102 NJN131102 NTJ131102 ODF131102 ONB131102 OWX131102 PGT131102 PQP131102 QAL131102 QKH131102 QUD131102 RDZ131102 RNV131102 RXR131102 SHN131102 SRJ131102 TBF131102 TLB131102 TUX131102 UET131102 UOP131102 UYL131102 VIH131102 VSD131102 WBZ131102 WLV131102 WVR131102 J196638 JF196638 TB196638 ACX196638 AMT196638 AWP196638 BGL196638 BQH196638 CAD196638 CJZ196638 CTV196638 DDR196638 DNN196638 DXJ196638 EHF196638 ERB196638 FAX196638 FKT196638 FUP196638 GEL196638 GOH196638 GYD196638 HHZ196638 HRV196638 IBR196638 ILN196638 IVJ196638 JFF196638 JPB196638 JYX196638 KIT196638 KSP196638 LCL196638 LMH196638 LWD196638 MFZ196638 MPV196638 MZR196638 NJN196638 NTJ196638 ODF196638 ONB196638 OWX196638 PGT196638 PQP196638 QAL196638 QKH196638 QUD196638 RDZ196638 RNV196638 RXR196638 SHN196638 SRJ196638 TBF196638 TLB196638 TUX196638 UET196638 UOP196638 UYL196638 VIH196638 VSD196638 WBZ196638 WLV196638 WVR196638 J262174 JF262174 TB262174 ACX262174 AMT262174 AWP262174 BGL262174 BQH262174 CAD262174 CJZ262174 CTV262174 DDR262174 DNN262174 DXJ262174 EHF262174 ERB262174 FAX262174 FKT262174 FUP262174 GEL262174 GOH262174 GYD262174 HHZ262174 HRV262174 IBR262174 ILN262174 IVJ262174 JFF262174 JPB262174 JYX262174 KIT262174 KSP262174 LCL262174 LMH262174 LWD262174 MFZ262174 MPV262174 MZR262174 NJN262174 NTJ262174 ODF262174 ONB262174 OWX262174 PGT262174 PQP262174 QAL262174 QKH262174 QUD262174 RDZ262174 RNV262174 RXR262174 SHN262174 SRJ262174 TBF262174 TLB262174 TUX262174 UET262174 UOP262174 UYL262174 VIH262174 VSD262174 WBZ262174 WLV262174 WVR262174 J327710 JF327710 TB327710 ACX327710 AMT327710 AWP327710 BGL327710 BQH327710 CAD327710 CJZ327710 CTV327710 DDR327710 DNN327710 DXJ327710 EHF327710 ERB327710 FAX327710 FKT327710 FUP327710 GEL327710 GOH327710 GYD327710 HHZ327710 HRV327710 IBR327710 ILN327710 IVJ327710 JFF327710 JPB327710 JYX327710 KIT327710 KSP327710 LCL327710 LMH327710 LWD327710 MFZ327710 MPV327710 MZR327710 NJN327710 NTJ327710 ODF327710 ONB327710 OWX327710 PGT327710 PQP327710 QAL327710 QKH327710 QUD327710 RDZ327710 RNV327710 RXR327710 SHN327710 SRJ327710 TBF327710 TLB327710 TUX327710 UET327710 UOP327710 UYL327710 VIH327710 VSD327710 WBZ327710 WLV327710 WVR327710 J393246 JF393246 TB393246 ACX393246 AMT393246 AWP393246 BGL393246 BQH393246 CAD393246 CJZ393246 CTV393246 DDR393246 DNN393246 DXJ393246 EHF393246 ERB393246 FAX393246 FKT393246 FUP393246 GEL393246 GOH393246 GYD393246 HHZ393246 HRV393246 IBR393246 ILN393246 IVJ393246 JFF393246 JPB393246 JYX393246 KIT393246 KSP393246 LCL393246 LMH393246 LWD393246 MFZ393246 MPV393246 MZR393246 NJN393246 NTJ393246 ODF393246 ONB393246 OWX393246 PGT393246 PQP393246 QAL393246 QKH393246 QUD393246 RDZ393246 RNV393246 RXR393246 SHN393246 SRJ393246 TBF393246 TLB393246 TUX393246 UET393246 UOP393246 UYL393246 VIH393246 VSD393246 WBZ393246 WLV393246 WVR393246 J458782 JF458782 TB458782 ACX458782 AMT458782 AWP458782 BGL458782 BQH458782 CAD458782 CJZ458782 CTV458782 DDR458782 DNN458782 DXJ458782 EHF458782 ERB458782 FAX458782 FKT458782 FUP458782 GEL458782 GOH458782 GYD458782 HHZ458782 HRV458782 IBR458782 ILN458782 IVJ458782 JFF458782 JPB458782 JYX458782 KIT458782 KSP458782 LCL458782 LMH458782 LWD458782 MFZ458782 MPV458782 MZR458782 NJN458782 NTJ458782 ODF458782 ONB458782 OWX458782 PGT458782 PQP458782 QAL458782 QKH458782 QUD458782 RDZ458782 RNV458782 RXR458782 SHN458782 SRJ458782 TBF458782 TLB458782 TUX458782 UET458782 UOP458782 UYL458782 VIH458782 VSD458782 WBZ458782 WLV458782 WVR458782 J524318 JF524318 TB524318 ACX524318 AMT524318 AWP524318 BGL524318 BQH524318 CAD524318 CJZ524318 CTV524318 DDR524318 DNN524318 DXJ524318 EHF524318 ERB524318 FAX524318 FKT524318 FUP524318 GEL524318 GOH524318 GYD524318 HHZ524318 HRV524318 IBR524318 ILN524318 IVJ524318 JFF524318 JPB524318 JYX524318 KIT524318 KSP524318 LCL524318 LMH524318 LWD524318 MFZ524318 MPV524318 MZR524318 NJN524318 NTJ524318 ODF524318 ONB524318 OWX524318 PGT524318 PQP524318 QAL524318 QKH524318 QUD524318 RDZ524318 RNV524318 RXR524318 SHN524318 SRJ524318 TBF524318 TLB524318 TUX524318 UET524318 UOP524318 UYL524318 VIH524318 VSD524318 WBZ524318 WLV524318 WVR524318 J589854 JF589854 TB589854 ACX589854 AMT589854 AWP589854 BGL589854 BQH589854 CAD589854 CJZ589854 CTV589854 DDR589854 DNN589854 DXJ589854 EHF589854 ERB589854 FAX589854 FKT589854 FUP589854 GEL589854 GOH589854 GYD589854 HHZ589854 HRV589854 IBR589854 ILN589854 IVJ589854 JFF589854 JPB589854 JYX589854 KIT589854 KSP589854 LCL589854 LMH589854 LWD589854 MFZ589854 MPV589854 MZR589854 NJN589854 NTJ589854 ODF589854 ONB589854 OWX589854 PGT589854 PQP589854 QAL589854 QKH589854 QUD589854 RDZ589854 RNV589854 RXR589854 SHN589854 SRJ589854 TBF589854 TLB589854 TUX589854 UET589854 UOP589854 UYL589854 VIH589854 VSD589854 WBZ589854 WLV589854 WVR589854 J655390 JF655390 TB655390 ACX655390 AMT655390 AWP655390 BGL655390 BQH655390 CAD655390 CJZ655390 CTV655390 DDR655390 DNN655390 DXJ655390 EHF655390 ERB655390 FAX655390 FKT655390 FUP655390 GEL655390 GOH655390 GYD655390 HHZ655390 HRV655390 IBR655390 ILN655390 IVJ655390 JFF655390 JPB655390 JYX655390 KIT655390 KSP655390 LCL655390 LMH655390 LWD655390 MFZ655390 MPV655390 MZR655390 NJN655390 NTJ655390 ODF655390 ONB655390 OWX655390 PGT655390 PQP655390 QAL655390 QKH655390 QUD655390 RDZ655390 RNV655390 RXR655390 SHN655390 SRJ655390 TBF655390 TLB655390 TUX655390 UET655390 UOP655390 UYL655390 VIH655390 VSD655390 WBZ655390 WLV655390 WVR655390 J720926 JF720926 TB720926 ACX720926 AMT720926 AWP720926 BGL720926 BQH720926 CAD720926 CJZ720926 CTV720926 DDR720926 DNN720926 DXJ720926 EHF720926 ERB720926 FAX720926 FKT720926 FUP720926 GEL720926 GOH720926 GYD720926 HHZ720926 HRV720926 IBR720926 ILN720926 IVJ720926 JFF720926 JPB720926 JYX720926 KIT720926 KSP720926 LCL720926 LMH720926 LWD720926 MFZ720926 MPV720926 MZR720926 NJN720926 NTJ720926 ODF720926 ONB720926 OWX720926 PGT720926 PQP720926 QAL720926 QKH720926 QUD720926 RDZ720926 RNV720926 RXR720926 SHN720926 SRJ720926 TBF720926 TLB720926 TUX720926 UET720926 UOP720926 UYL720926 VIH720926 VSD720926 WBZ720926 WLV720926 WVR720926 J786462 JF786462 TB786462 ACX786462 AMT786462 AWP786462 BGL786462 BQH786462 CAD786462 CJZ786462 CTV786462 DDR786462 DNN786462 DXJ786462 EHF786462 ERB786462 FAX786462 FKT786462 FUP786462 GEL786462 GOH786462 GYD786462 HHZ786462 HRV786462 IBR786462 ILN786462 IVJ786462 JFF786462 JPB786462 JYX786462 KIT786462 KSP786462 LCL786462 LMH786462 LWD786462 MFZ786462 MPV786462 MZR786462 NJN786462 NTJ786462 ODF786462 ONB786462 OWX786462 PGT786462 PQP786462 QAL786462 QKH786462 QUD786462 RDZ786462 RNV786462 RXR786462 SHN786462 SRJ786462 TBF786462 TLB786462 TUX786462 UET786462 UOP786462 UYL786462 VIH786462 VSD786462 WBZ786462 WLV786462 WVR786462 J851998 JF851998 TB851998 ACX851998 AMT851998 AWP851998 BGL851998 BQH851998 CAD851998 CJZ851998 CTV851998 DDR851998 DNN851998 DXJ851998 EHF851998 ERB851998 FAX851998 FKT851998 FUP851998 GEL851998 GOH851998 GYD851998 HHZ851998 HRV851998 IBR851998 ILN851998 IVJ851998 JFF851998 JPB851998 JYX851998 KIT851998 KSP851998 LCL851998 LMH851998 LWD851998 MFZ851998 MPV851998 MZR851998 NJN851998 NTJ851998 ODF851998 ONB851998 OWX851998 PGT851998 PQP851998 QAL851998 QKH851998 QUD851998 RDZ851998 RNV851998 RXR851998 SHN851998 SRJ851998 TBF851998 TLB851998 TUX851998 UET851998 UOP851998 UYL851998 VIH851998 VSD851998 WBZ851998 WLV851998 WVR851998 J917534 JF917534 TB917534 ACX917534 AMT917534 AWP917534 BGL917534 BQH917534 CAD917534 CJZ917534 CTV917534 DDR917534 DNN917534 DXJ917534 EHF917534 ERB917534 FAX917534 FKT917534 FUP917534 GEL917534 GOH917534 GYD917534 HHZ917534 HRV917534 IBR917534 ILN917534 IVJ917534 JFF917534 JPB917534 JYX917534 KIT917534 KSP917534 LCL917534 LMH917534 LWD917534 MFZ917534 MPV917534 MZR917534 NJN917534 NTJ917534 ODF917534 ONB917534 OWX917534 PGT917534 PQP917534 QAL917534 QKH917534 QUD917534 RDZ917534 RNV917534 RXR917534 SHN917534 SRJ917534 TBF917534 TLB917534 TUX917534 UET917534 UOP917534 UYL917534 VIH917534 VSD917534 WBZ917534 WLV917534 WVR917534 J983070 JF983070 TB983070 ACX983070 AMT983070 AWP983070 BGL983070 BQH983070 CAD983070 CJZ983070 CTV983070 DDR983070 DNN983070 DXJ983070 EHF983070 ERB983070 FAX983070 FKT983070 FUP983070 GEL983070 GOH983070 GYD983070 HHZ983070 HRV983070 IBR983070 ILN983070 IVJ983070 JFF983070 JPB983070 JYX983070 KIT983070 KSP983070 LCL983070 LMH983070 LWD983070 MFZ983070 MPV983070 MZR983070 NJN983070 NTJ983070 ODF983070 ONB983070 OWX983070 PGT983070 PQP983070 QAL983070 QKH983070 QUD983070 RDZ983070 RNV983070 RXR983070 SHN983070 SRJ983070 TBF983070 TLB983070 TUX983070 UET983070 UOP983070 UYL983070 VIH983070 VSD983070 WBZ983070 WLV983070 WVR983070 J46 JF46 TB46 ACX46 AMT46 AWP46 BGL46 BQH46 CAD46 CJZ46 CTV46 DDR46 DNN46 DXJ46 EHF46 ERB46 FAX46 FKT46 FUP46 GEL46 GOH46 GYD46 HHZ46 HRV46 IBR46 ILN46 IVJ46 JFF46 JPB46 JYX46 KIT46 KSP46 LCL46 LMH46 LWD46 MFZ46 MPV46 MZR46 NJN46 NTJ46 ODF46 ONB46 OWX46 PGT46 PQP46 QAL46 QKH46 QUD46 RDZ46 RNV46 RXR46 SHN46 SRJ46 TBF46 TLB46 TUX46 UET46 UOP46 UYL46 VIH46 VSD46 WBZ46 WLV46 WVR46 J65582 JF65582 TB65582 ACX65582 AMT65582 AWP65582 BGL65582 BQH65582 CAD65582 CJZ65582 CTV65582 DDR65582 DNN65582 DXJ65582 EHF65582 ERB65582 FAX65582 FKT65582 FUP65582 GEL65582 GOH65582 GYD65582 HHZ65582 HRV65582 IBR65582 ILN65582 IVJ65582 JFF65582 JPB65582 JYX65582 KIT65582 KSP65582 LCL65582 LMH65582 LWD65582 MFZ65582 MPV65582 MZR65582 NJN65582 NTJ65582 ODF65582 ONB65582 OWX65582 PGT65582 PQP65582 QAL65582 QKH65582 QUD65582 RDZ65582 RNV65582 RXR65582 SHN65582 SRJ65582 TBF65582 TLB65582 TUX65582 UET65582 UOP65582 UYL65582 VIH65582 VSD65582 WBZ65582 WLV65582 WVR65582 J131118 JF131118 TB131118 ACX131118 AMT131118 AWP131118 BGL131118 BQH131118 CAD131118 CJZ131118 CTV131118 DDR131118 DNN131118 DXJ131118 EHF131118 ERB131118 FAX131118 FKT131118 FUP131118 GEL131118 GOH131118 GYD131118 HHZ131118 HRV131118 IBR131118 ILN131118 IVJ131118 JFF131118 JPB131118 JYX131118 KIT131118 KSP131118 LCL131118 LMH131118 LWD131118 MFZ131118 MPV131118 MZR131118 NJN131118 NTJ131118 ODF131118 ONB131118 OWX131118 PGT131118 PQP131118 QAL131118 QKH131118 QUD131118 RDZ131118 RNV131118 RXR131118 SHN131118 SRJ131118 TBF131118 TLB131118 TUX131118 UET131118 UOP131118 UYL131118 VIH131118 VSD131118 WBZ131118 WLV131118 WVR131118 J196654 JF196654 TB196654 ACX196654 AMT196654 AWP196654 BGL196654 BQH196654 CAD196654 CJZ196654 CTV196654 DDR196654 DNN196654 DXJ196654 EHF196654 ERB196654 FAX196654 FKT196654 FUP196654 GEL196654 GOH196654 GYD196654 HHZ196654 HRV196654 IBR196654 ILN196654 IVJ196654 JFF196654 JPB196654 JYX196654 KIT196654 KSP196654 LCL196654 LMH196654 LWD196654 MFZ196654 MPV196654 MZR196654 NJN196654 NTJ196654 ODF196654 ONB196654 OWX196654 PGT196654 PQP196654 QAL196654 QKH196654 QUD196654 RDZ196654 RNV196654 RXR196654 SHN196654 SRJ196654 TBF196654 TLB196654 TUX196654 UET196654 UOP196654 UYL196654 VIH196654 VSD196654 WBZ196654 WLV196654 WVR196654 J262190 JF262190 TB262190 ACX262190 AMT262190 AWP262190 BGL262190 BQH262190 CAD262190 CJZ262190 CTV262190 DDR262190 DNN262190 DXJ262190 EHF262190 ERB262190 FAX262190 FKT262190 FUP262190 GEL262190 GOH262190 GYD262190 HHZ262190 HRV262190 IBR262190 ILN262190 IVJ262190 JFF262190 JPB262190 JYX262190 KIT262190 KSP262190 LCL262190 LMH262190 LWD262190 MFZ262190 MPV262190 MZR262190 NJN262190 NTJ262190 ODF262190 ONB262190 OWX262190 PGT262190 PQP262190 QAL262190 QKH262190 QUD262190 RDZ262190 RNV262190 RXR262190 SHN262190 SRJ262190 TBF262190 TLB262190 TUX262190 UET262190 UOP262190 UYL262190 VIH262190 VSD262190 WBZ262190 WLV262190 WVR262190 J327726 JF327726 TB327726 ACX327726 AMT327726 AWP327726 BGL327726 BQH327726 CAD327726 CJZ327726 CTV327726 DDR327726 DNN327726 DXJ327726 EHF327726 ERB327726 FAX327726 FKT327726 FUP327726 GEL327726 GOH327726 GYD327726 HHZ327726 HRV327726 IBR327726 ILN327726 IVJ327726 JFF327726 JPB327726 JYX327726 KIT327726 KSP327726 LCL327726 LMH327726 LWD327726 MFZ327726 MPV327726 MZR327726 NJN327726 NTJ327726 ODF327726 ONB327726 OWX327726 PGT327726 PQP327726 QAL327726 QKH327726 QUD327726 RDZ327726 RNV327726 RXR327726 SHN327726 SRJ327726 TBF327726 TLB327726 TUX327726 UET327726 UOP327726 UYL327726 VIH327726 VSD327726 WBZ327726 WLV327726 WVR327726 J393262 JF393262 TB393262 ACX393262 AMT393262 AWP393262 BGL393262 BQH393262 CAD393262 CJZ393262 CTV393262 DDR393262 DNN393262 DXJ393262 EHF393262 ERB393262 FAX393262 FKT393262 FUP393262 GEL393262 GOH393262 GYD393262 HHZ393262 HRV393262 IBR393262 ILN393262 IVJ393262 JFF393262 JPB393262 JYX393262 KIT393262 KSP393262 LCL393262 LMH393262 LWD393262 MFZ393262 MPV393262 MZR393262 NJN393262 NTJ393262 ODF393262 ONB393262 OWX393262 PGT393262 PQP393262 QAL393262 QKH393262 QUD393262 RDZ393262 RNV393262 RXR393262 SHN393262 SRJ393262 TBF393262 TLB393262 TUX393262 UET393262 UOP393262 UYL393262 VIH393262 VSD393262 WBZ393262 WLV393262 WVR393262 J458798 JF458798 TB458798 ACX458798 AMT458798 AWP458798 BGL458798 BQH458798 CAD458798 CJZ458798 CTV458798 DDR458798 DNN458798 DXJ458798 EHF458798 ERB458798 FAX458798 FKT458798 FUP458798 GEL458798 GOH458798 GYD458798 HHZ458798 HRV458798 IBR458798 ILN458798 IVJ458798 JFF458798 JPB458798 JYX458798 KIT458798 KSP458798 LCL458798 LMH458798 LWD458798 MFZ458798 MPV458798 MZR458798 NJN458798 NTJ458798 ODF458798 ONB458798 OWX458798 PGT458798 PQP458798 QAL458798 QKH458798 QUD458798 RDZ458798 RNV458798 RXR458798 SHN458798 SRJ458798 TBF458798 TLB458798 TUX458798 UET458798 UOP458798 UYL458798 VIH458798 VSD458798 WBZ458798 WLV458798 WVR458798 J524334 JF524334 TB524334 ACX524334 AMT524334 AWP524334 BGL524334 BQH524334 CAD524334 CJZ524334 CTV524334 DDR524334 DNN524334 DXJ524334 EHF524334 ERB524334 FAX524334 FKT524334 FUP524334 GEL524334 GOH524334 GYD524334 HHZ524334 HRV524334 IBR524334 ILN524334 IVJ524334 JFF524334 JPB524334 JYX524334 KIT524334 KSP524334 LCL524334 LMH524334 LWD524334 MFZ524334 MPV524334 MZR524334 NJN524334 NTJ524334 ODF524334 ONB524334 OWX524334 PGT524334 PQP524334 QAL524334 QKH524334 QUD524334 RDZ524334 RNV524334 RXR524334 SHN524334 SRJ524334 TBF524334 TLB524334 TUX524334 UET524334 UOP524334 UYL524334 VIH524334 VSD524334 WBZ524334 WLV524334 WVR524334 J589870 JF589870 TB589870 ACX589870 AMT589870 AWP589870 BGL589870 BQH589870 CAD589870 CJZ589870 CTV589870 DDR589870 DNN589870 DXJ589870 EHF589870 ERB589870 FAX589870 FKT589870 FUP589870 GEL589870 GOH589870 GYD589870 HHZ589870 HRV589870 IBR589870 ILN589870 IVJ589870 JFF589870 JPB589870 JYX589870 KIT589870 KSP589870 LCL589870 LMH589870 LWD589870 MFZ589870 MPV589870 MZR589870 NJN589870 NTJ589870 ODF589870 ONB589870 OWX589870 PGT589870 PQP589870 QAL589870 QKH589870 QUD589870 RDZ589870 RNV589870 RXR589870 SHN589870 SRJ589870 TBF589870 TLB589870 TUX589870 UET589870 UOP589870 UYL589870 VIH589870 VSD589870 WBZ589870 WLV589870 WVR589870 J655406 JF655406 TB655406 ACX655406 AMT655406 AWP655406 BGL655406 BQH655406 CAD655406 CJZ655406 CTV655406 DDR655406 DNN655406 DXJ655406 EHF655406 ERB655406 FAX655406 FKT655406 FUP655406 GEL655406 GOH655406 GYD655406 HHZ655406 HRV655406 IBR655406 ILN655406 IVJ655406 JFF655406 JPB655406 JYX655406 KIT655406 KSP655406 LCL655406 LMH655406 LWD655406 MFZ655406 MPV655406 MZR655406 NJN655406 NTJ655406 ODF655406 ONB655406 OWX655406 PGT655406 PQP655406 QAL655406 QKH655406 QUD655406 RDZ655406 RNV655406 RXR655406 SHN655406 SRJ655406 TBF655406 TLB655406 TUX655406 UET655406 UOP655406 UYL655406 VIH655406 VSD655406 WBZ655406 WLV655406 WVR655406 J720942 JF720942 TB720942 ACX720942 AMT720942 AWP720942 BGL720942 BQH720942 CAD720942 CJZ720942 CTV720942 DDR720942 DNN720942 DXJ720942 EHF720942 ERB720942 FAX720942 FKT720942 FUP720942 GEL720942 GOH720942 GYD720942 HHZ720942 HRV720942 IBR720942 ILN720942 IVJ720942 JFF720942 JPB720942 JYX720942 KIT720942 KSP720942 LCL720942 LMH720942 LWD720942 MFZ720942 MPV720942 MZR720942 NJN720942 NTJ720942 ODF720942 ONB720942 OWX720942 PGT720942 PQP720942 QAL720942 QKH720942 QUD720942 RDZ720942 RNV720942 RXR720942 SHN720942 SRJ720942 TBF720942 TLB720942 TUX720942 UET720942 UOP720942 UYL720942 VIH720942 VSD720942 WBZ720942 WLV720942 WVR720942 J786478 JF786478 TB786478 ACX786478 AMT786478 AWP786478 BGL786478 BQH786478 CAD786478 CJZ786478 CTV786478 DDR786478 DNN786478 DXJ786478 EHF786478 ERB786478 FAX786478 FKT786478 FUP786478 GEL786478 GOH786478 GYD786478 HHZ786478 HRV786478 IBR786478 ILN786478 IVJ786478 JFF786478 JPB786478 JYX786478 KIT786478 KSP786478 LCL786478 LMH786478 LWD786478 MFZ786478 MPV786478 MZR786478 NJN786478 NTJ786478 ODF786478 ONB786478 OWX786478 PGT786478 PQP786478 QAL786478 QKH786478 QUD786478 RDZ786478 RNV786478 RXR786478 SHN786478 SRJ786478 TBF786478 TLB786478 TUX786478 UET786478 UOP786478 UYL786478 VIH786478 VSD786478 WBZ786478 WLV786478 WVR786478 J852014 JF852014 TB852014 ACX852014 AMT852014 AWP852014 BGL852014 BQH852014 CAD852014 CJZ852014 CTV852014 DDR852014 DNN852014 DXJ852014 EHF852014 ERB852014 FAX852014 FKT852014 FUP852014 GEL852014 GOH852014 GYD852014 HHZ852014 HRV852014 IBR852014 ILN852014 IVJ852014 JFF852014 JPB852014 JYX852014 KIT852014 KSP852014 LCL852014 LMH852014 LWD852014 MFZ852014 MPV852014 MZR852014 NJN852014 NTJ852014 ODF852014 ONB852014 OWX852014 PGT852014 PQP852014 QAL852014 QKH852014 QUD852014 RDZ852014 RNV852014 RXR852014 SHN852014 SRJ852014 TBF852014 TLB852014 TUX852014 UET852014 UOP852014 UYL852014 VIH852014 VSD852014 WBZ852014 WLV852014 WVR852014 J917550 JF917550 TB917550 ACX917550 AMT917550 AWP917550 BGL917550 BQH917550 CAD917550 CJZ917550 CTV917550 DDR917550 DNN917550 DXJ917550 EHF917550 ERB917550 FAX917550 FKT917550 FUP917550 GEL917550 GOH917550 GYD917550 HHZ917550 HRV917550 IBR917550 ILN917550 IVJ917550 JFF917550 JPB917550 JYX917550 KIT917550 KSP917550 LCL917550 LMH917550 LWD917550 MFZ917550 MPV917550 MZR917550 NJN917550 NTJ917550 ODF917550 ONB917550 OWX917550 PGT917550 PQP917550 QAL917550 QKH917550 QUD917550 RDZ917550 RNV917550 RXR917550 SHN917550 SRJ917550 TBF917550 TLB917550 TUX917550 UET917550 UOP917550 UYL917550 VIH917550 VSD917550 WBZ917550 WLV917550 WVR917550 J983086 JF983086 TB983086 ACX983086 AMT983086 AWP983086 BGL983086 BQH983086 CAD983086 CJZ983086 CTV983086 DDR983086 DNN983086 DXJ983086 EHF983086 ERB983086 FAX983086 FKT983086 FUP983086 GEL983086 GOH983086 GYD983086 HHZ983086 HRV983086 IBR983086 ILN983086 IVJ983086 JFF983086 JPB983086 JYX983086 KIT983086 KSP983086 LCL983086 LMH983086 LWD983086 MFZ983086 MPV983086 MZR983086 NJN983086 NTJ983086 ODF983086 ONB983086 OWX983086 PGT983086 PQP983086 QAL983086 QKH983086 QUD983086 RDZ983086 RNV983086 RXR983086 SHN983086 SRJ983086 TBF983086 TLB983086 TUX983086 UET983086 UOP983086 UYL983086 VIH983086 VSD983086 WBZ983086 WLV983086 WVR983086 J62 JF62 TB62 ACX62 AMT62 AWP62 BGL62 BQH62 CAD62 CJZ62 CTV62 DDR62 DNN62 DXJ62 EHF62 ERB62 FAX62 FKT62 FUP62 GEL62 GOH62 GYD62 HHZ62 HRV62 IBR62 ILN62 IVJ62 JFF62 JPB62 JYX62 KIT62 KSP62 LCL62 LMH62 LWD62 MFZ62 MPV62 MZR62 NJN62 NTJ62 ODF62 ONB62 OWX62 PGT62 PQP62 QAL62 QKH62 QUD62 RDZ62 RNV62 RXR62 SHN62 SRJ62 TBF62 TLB62 TUX62 UET62 UOP62 UYL62 VIH62 VSD62 WBZ62 WLV62 WVR62 J65598 JF65598 TB65598 ACX65598 AMT65598 AWP65598 BGL65598 BQH65598 CAD65598 CJZ65598 CTV65598 DDR65598 DNN65598 DXJ65598 EHF65598 ERB65598 FAX65598 FKT65598 FUP65598 GEL65598 GOH65598 GYD65598 HHZ65598 HRV65598 IBR65598 ILN65598 IVJ65598 JFF65598 JPB65598 JYX65598 KIT65598 KSP65598 LCL65598 LMH65598 LWD65598 MFZ65598 MPV65598 MZR65598 NJN65598 NTJ65598 ODF65598 ONB65598 OWX65598 PGT65598 PQP65598 QAL65598 QKH65598 QUD65598 RDZ65598 RNV65598 RXR65598 SHN65598 SRJ65598 TBF65598 TLB65598 TUX65598 UET65598 UOP65598 UYL65598 VIH65598 VSD65598 WBZ65598 WLV65598 WVR65598 J131134 JF131134 TB131134 ACX131134 AMT131134 AWP131134 BGL131134 BQH131134 CAD131134 CJZ131134 CTV131134 DDR131134 DNN131134 DXJ131134 EHF131134 ERB131134 FAX131134 FKT131134 FUP131134 GEL131134 GOH131134 GYD131134 HHZ131134 HRV131134 IBR131134 ILN131134 IVJ131134 JFF131134 JPB131134 JYX131134 KIT131134 KSP131134 LCL131134 LMH131134 LWD131134 MFZ131134 MPV131134 MZR131134 NJN131134 NTJ131134 ODF131134 ONB131134 OWX131134 PGT131134 PQP131134 QAL131134 QKH131134 QUD131134 RDZ131134 RNV131134 RXR131134 SHN131134 SRJ131134 TBF131134 TLB131134 TUX131134 UET131134 UOP131134 UYL131134 VIH131134 VSD131134 WBZ131134 WLV131134 WVR131134 J196670 JF196670 TB196670 ACX196670 AMT196670 AWP196670 BGL196670 BQH196670 CAD196670 CJZ196670 CTV196670 DDR196670 DNN196670 DXJ196670 EHF196670 ERB196670 FAX196670 FKT196670 FUP196670 GEL196670 GOH196670 GYD196670 HHZ196670 HRV196670 IBR196670 ILN196670 IVJ196670 JFF196670 JPB196670 JYX196670 KIT196670 KSP196670 LCL196670 LMH196670 LWD196670 MFZ196670 MPV196670 MZR196670 NJN196670 NTJ196670 ODF196670 ONB196670 OWX196670 PGT196670 PQP196670 QAL196670 QKH196670 QUD196670 RDZ196670 RNV196670 RXR196670 SHN196670 SRJ196670 TBF196670 TLB196670 TUX196670 UET196670 UOP196670 UYL196670 VIH196670 VSD196670 WBZ196670 WLV196670 WVR196670 J262206 JF262206 TB262206 ACX262206 AMT262206 AWP262206 BGL262206 BQH262206 CAD262206 CJZ262206 CTV262206 DDR262206 DNN262206 DXJ262206 EHF262206 ERB262206 FAX262206 FKT262206 FUP262206 GEL262206 GOH262206 GYD262206 HHZ262206 HRV262206 IBR262206 ILN262206 IVJ262206 JFF262206 JPB262206 JYX262206 KIT262206 KSP262206 LCL262206 LMH262206 LWD262206 MFZ262206 MPV262206 MZR262206 NJN262206 NTJ262206 ODF262206 ONB262206 OWX262206 PGT262206 PQP262206 QAL262206 QKH262206 QUD262206 RDZ262206 RNV262206 RXR262206 SHN262206 SRJ262206 TBF262206 TLB262206 TUX262206 UET262206 UOP262206 UYL262206 VIH262206 VSD262206 WBZ262206 WLV262206 WVR262206 J327742 JF327742 TB327742 ACX327742 AMT327742 AWP327742 BGL327742 BQH327742 CAD327742 CJZ327742 CTV327742 DDR327742 DNN327742 DXJ327742 EHF327742 ERB327742 FAX327742 FKT327742 FUP327742 GEL327742 GOH327742 GYD327742 HHZ327742 HRV327742 IBR327742 ILN327742 IVJ327742 JFF327742 JPB327742 JYX327742 KIT327742 KSP327742 LCL327742 LMH327742 LWD327742 MFZ327742 MPV327742 MZR327742 NJN327742 NTJ327742 ODF327742 ONB327742 OWX327742 PGT327742 PQP327742 QAL327742 QKH327742 QUD327742 RDZ327742 RNV327742 RXR327742 SHN327742 SRJ327742 TBF327742 TLB327742 TUX327742 UET327742 UOP327742 UYL327742 VIH327742 VSD327742 WBZ327742 WLV327742 WVR327742 J393278 JF393278 TB393278 ACX393278 AMT393278 AWP393278 BGL393278 BQH393278 CAD393278 CJZ393278 CTV393278 DDR393278 DNN393278 DXJ393278 EHF393278 ERB393278 FAX393278 FKT393278 FUP393278 GEL393278 GOH393278 GYD393278 HHZ393278 HRV393278 IBR393278 ILN393278 IVJ393278 JFF393278 JPB393278 JYX393278 KIT393278 KSP393278 LCL393278 LMH393278 LWD393278 MFZ393278 MPV393278 MZR393278 NJN393278 NTJ393278 ODF393278 ONB393278 OWX393278 PGT393278 PQP393278 QAL393278 QKH393278 QUD393278 RDZ393278 RNV393278 RXR393278 SHN393278 SRJ393278 TBF393278 TLB393278 TUX393278 UET393278 UOP393278 UYL393278 VIH393278 VSD393278 WBZ393278 WLV393278 WVR393278 J458814 JF458814 TB458814 ACX458814 AMT458814 AWP458814 BGL458814 BQH458814 CAD458814 CJZ458814 CTV458814 DDR458814 DNN458814 DXJ458814 EHF458814 ERB458814 FAX458814 FKT458814 FUP458814 GEL458814 GOH458814 GYD458814 HHZ458814 HRV458814 IBR458814 ILN458814 IVJ458814 JFF458814 JPB458814 JYX458814 KIT458814 KSP458814 LCL458814 LMH458814 LWD458814 MFZ458814 MPV458814 MZR458814 NJN458814 NTJ458814 ODF458814 ONB458814 OWX458814 PGT458814 PQP458814 QAL458814 QKH458814 QUD458814 RDZ458814 RNV458814 RXR458814 SHN458814 SRJ458814 TBF458814 TLB458814 TUX458814 UET458814 UOP458814 UYL458814 VIH458814 VSD458814 WBZ458814 WLV458814 WVR458814 J524350 JF524350 TB524350 ACX524350 AMT524350 AWP524350 BGL524350 BQH524350 CAD524350 CJZ524350 CTV524350 DDR524350 DNN524350 DXJ524350 EHF524350 ERB524350 FAX524350 FKT524350 FUP524350 GEL524350 GOH524350 GYD524350 HHZ524350 HRV524350 IBR524350 ILN524350 IVJ524350 JFF524350 JPB524350 JYX524350 KIT524350 KSP524350 LCL524350 LMH524350 LWD524350 MFZ524350 MPV524350 MZR524350 NJN524350 NTJ524350 ODF524350 ONB524350 OWX524350 PGT524350 PQP524350 QAL524350 QKH524350 QUD524350 RDZ524350 RNV524350 RXR524350 SHN524350 SRJ524350 TBF524350 TLB524350 TUX524350 UET524350 UOP524350 UYL524350 VIH524350 VSD524350 WBZ524350 WLV524350 WVR524350 J589886 JF589886 TB589886 ACX589886 AMT589886 AWP589886 BGL589886 BQH589886 CAD589886 CJZ589886 CTV589886 DDR589886 DNN589886 DXJ589886 EHF589886 ERB589886 FAX589886 FKT589886 FUP589886 GEL589886 GOH589886 GYD589886 HHZ589886 HRV589886 IBR589886 ILN589886 IVJ589886 JFF589886 JPB589886 JYX589886 KIT589886 KSP589886 LCL589886 LMH589886 LWD589886 MFZ589886 MPV589886 MZR589886 NJN589886 NTJ589886 ODF589886 ONB589886 OWX589886 PGT589886 PQP589886 QAL589886 QKH589886 QUD589886 RDZ589886 RNV589886 RXR589886 SHN589886 SRJ589886 TBF589886 TLB589886 TUX589886 UET589886 UOP589886 UYL589886 VIH589886 VSD589886 WBZ589886 WLV589886 WVR589886 J655422 JF655422 TB655422 ACX655422 AMT655422 AWP655422 BGL655422 BQH655422 CAD655422 CJZ655422 CTV655422 DDR655422 DNN655422 DXJ655422 EHF655422 ERB655422 FAX655422 FKT655422 FUP655422 GEL655422 GOH655422 GYD655422 HHZ655422 HRV655422 IBR655422 ILN655422 IVJ655422 JFF655422 JPB655422 JYX655422 KIT655422 KSP655422 LCL655422 LMH655422 LWD655422 MFZ655422 MPV655422 MZR655422 NJN655422 NTJ655422 ODF655422 ONB655422 OWX655422 PGT655422 PQP655422 QAL655422 QKH655422 QUD655422 RDZ655422 RNV655422 RXR655422 SHN655422 SRJ655422 TBF655422 TLB655422 TUX655422 UET655422 UOP655422 UYL655422 VIH655422 VSD655422 WBZ655422 WLV655422 WVR655422 J720958 JF720958 TB720958 ACX720958 AMT720958 AWP720958 BGL720958 BQH720958 CAD720958 CJZ720958 CTV720958 DDR720958 DNN720958 DXJ720958 EHF720958 ERB720958 FAX720958 FKT720958 FUP720958 GEL720958 GOH720958 GYD720958 HHZ720958 HRV720958 IBR720958 ILN720958 IVJ720958 JFF720958 JPB720958 JYX720958 KIT720958 KSP720958 LCL720958 LMH720958 LWD720958 MFZ720958 MPV720958 MZR720958 NJN720958 NTJ720958 ODF720958 ONB720958 OWX720958 PGT720958 PQP720958 QAL720958 QKH720958 QUD720958 RDZ720958 RNV720958 RXR720958 SHN720958 SRJ720958 TBF720958 TLB720958 TUX720958 UET720958 UOP720958 UYL720958 VIH720958 VSD720958 WBZ720958 WLV720958 WVR720958 J786494 JF786494 TB786494 ACX786494 AMT786494 AWP786494 BGL786494 BQH786494 CAD786494 CJZ786494 CTV786494 DDR786494 DNN786494 DXJ786494 EHF786494 ERB786494 FAX786494 FKT786494 FUP786494 GEL786494 GOH786494 GYD786494 HHZ786494 HRV786494 IBR786494 ILN786494 IVJ786494 JFF786494 JPB786494 JYX786494 KIT786494 KSP786494 LCL786494 LMH786494 LWD786494 MFZ786494 MPV786494 MZR786494 NJN786494 NTJ786494 ODF786494 ONB786494 OWX786494 PGT786494 PQP786494 QAL786494 QKH786494 QUD786494 RDZ786494 RNV786494 RXR786494 SHN786494 SRJ786494 TBF786494 TLB786494 TUX786494 UET786494 UOP786494 UYL786494 VIH786494 VSD786494 WBZ786494 WLV786494 WVR786494 J852030 JF852030 TB852030 ACX852030 AMT852030 AWP852030 BGL852030 BQH852030 CAD852030 CJZ852030 CTV852030 DDR852030 DNN852030 DXJ852030 EHF852030 ERB852030 FAX852030 FKT852030 FUP852030 GEL852030 GOH852030 GYD852030 HHZ852030 HRV852030 IBR852030 ILN852030 IVJ852030 JFF852030 JPB852030 JYX852030 KIT852030 KSP852030 LCL852030 LMH852030 LWD852030 MFZ852030 MPV852030 MZR852030 NJN852030 NTJ852030 ODF852030 ONB852030 OWX852030 PGT852030 PQP852030 QAL852030 QKH852030 QUD852030 RDZ852030 RNV852030 RXR852030 SHN852030 SRJ852030 TBF852030 TLB852030 TUX852030 UET852030 UOP852030 UYL852030 VIH852030 VSD852030 WBZ852030 WLV852030 WVR852030 J917566 JF917566 TB917566 ACX917566 AMT917566 AWP917566 BGL917566 BQH917566 CAD917566 CJZ917566 CTV917566 DDR917566 DNN917566 DXJ917566 EHF917566 ERB917566 FAX917566 FKT917566 FUP917566 GEL917566 GOH917566 GYD917566 HHZ917566 HRV917566 IBR917566 ILN917566 IVJ917566 JFF917566 JPB917566 JYX917566 KIT917566 KSP917566 LCL917566 LMH917566 LWD917566 MFZ917566 MPV917566 MZR917566 NJN917566 NTJ917566 ODF917566 ONB917566 OWX917566 PGT917566 PQP917566 QAL917566 QKH917566 QUD917566 RDZ917566 RNV917566 RXR917566 SHN917566 SRJ917566 TBF917566 TLB917566 TUX917566 UET917566 UOP917566 UYL917566 VIH917566 VSD917566 WBZ917566 WLV917566 WVR917566 J983102 JF983102 TB983102 ACX983102 AMT983102 AWP983102 BGL983102 BQH983102 CAD983102 CJZ983102 CTV983102 DDR983102 DNN983102 DXJ983102 EHF983102 ERB983102 FAX983102 FKT983102 FUP983102 GEL983102 GOH983102 GYD983102 HHZ983102 HRV983102 IBR983102 ILN983102 IVJ983102 JFF983102 JPB983102 JYX983102 KIT983102 KSP983102 LCL983102 LMH983102 LWD983102 MFZ983102 MPV983102 MZR983102 NJN983102 NTJ983102 ODF983102 ONB983102 OWX983102 PGT983102 PQP983102 QAL983102 QKH983102 QUD983102 RDZ983102 RNV983102 RXR983102 SHN983102 SRJ983102 TBF983102 TLB983102 TUX983102 UET983102 UOP983102 UYL983102 VIH983102 VSD983102 WBZ983102 WLV983102 WVR983102" xr:uid="{C64405EE-170D-43E3-85D0-EC6268E68E60}">
      <formula1>Distribution</formula1>
    </dataValidation>
    <dataValidation type="list" allowBlank="1" showInputMessage="1" showErrorMessage="1" sqref="D61:E61 IZ61:JA61 SV61:SW61 ACR61:ACS61 AMN61:AMO61 AWJ61:AWK61 BGF61:BGG61 BQB61:BQC61 BZX61:BZY61 CJT61:CJU61 CTP61:CTQ61 DDL61:DDM61 DNH61:DNI61 DXD61:DXE61 EGZ61:EHA61 EQV61:EQW61 FAR61:FAS61 FKN61:FKO61 FUJ61:FUK61 GEF61:GEG61 GOB61:GOC61 GXX61:GXY61 HHT61:HHU61 HRP61:HRQ61 IBL61:IBM61 ILH61:ILI61 IVD61:IVE61 JEZ61:JFA61 JOV61:JOW61 JYR61:JYS61 KIN61:KIO61 KSJ61:KSK61 LCF61:LCG61 LMB61:LMC61 LVX61:LVY61 MFT61:MFU61 MPP61:MPQ61 MZL61:MZM61 NJH61:NJI61 NTD61:NTE61 OCZ61:ODA61 OMV61:OMW61 OWR61:OWS61 PGN61:PGO61 PQJ61:PQK61 QAF61:QAG61 QKB61:QKC61 QTX61:QTY61 RDT61:RDU61 RNP61:RNQ61 RXL61:RXM61 SHH61:SHI61 SRD61:SRE61 TAZ61:TBA61 TKV61:TKW61 TUR61:TUS61 UEN61:UEO61 UOJ61:UOK61 UYF61:UYG61 VIB61:VIC61 VRX61:VRY61 WBT61:WBU61 WLP61:WLQ61 WVL61:WVM61 D65597:E65597 IZ65597:JA65597 SV65597:SW65597 ACR65597:ACS65597 AMN65597:AMO65597 AWJ65597:AWK65597 BGF65597:BGG65597 BQB65597:BQC65597 BZX65597:BZY65597 CJT65597:CJU65597 CTP65597:CTQ65597 DDL65597:DDM65597 DNH65597:DNI65597 DXD65597:DXE65597 EGZ65597:EHA65597 EQV65597:EQW65597 FAR65597:FAS65597 FKN65597:FKO65597 FUJ65597:FUK65597 GEF65597:GEG65597 GOB65597:GOC65597 GXX65597:GXY65597 HHT65597:HHU65597 HRP65597:HRQ65597 IBL65597:IBM65597 ILH65597:ILI65597 IVD65597:IVE65597 JEZ65597:JFA65597 JOV65597:JOW65597 JYR65597:JYS65597 KIN65597:KIO65597 KSJ65597:KSK65597 LCF65597:LCG65597 LMB65597:LMC65597 LVX65597:LVY65597 MFT65597:MFU65597 MPP65597:MPQ65597 MZL65597:MZM65597 NJH65597:NJI65597 NTD65597:NTE65597 OCZ65597:ODA65597 OMV65597:OMW65597 OWR65597:OWS65597 PGN65597:PGO65597 PQJ65597:PQK65597 QAF65597:QAG65597 QKB65597:QKC65597 QTX65597:QTY65597 RDT65597:RDU65597 RNP65597:RNQ65597 RXL65597:RXM65597 SHH65597:SHI65597 SRD65597:SRE65597 TAZ65597:TBA65597 TKV65597:TKW65597 TUR65597:TUS65597 UEN65597:UEO65597 UOJ65597:UOK65597 UYF65597:UYG65597 VIB65597:VIC65597 VRX65597:VRY65597 WBT65597:WBU65597 WLP65597:WLQ65597 WVL65597:WVM65597 D131133:E131133 IZ131133:JA131133 SV131133:SW131133 ACR131133:ACS131133 AMN131133:AMO131133 AWJ131133:AWK131133 BGF131133:BGG131133 BQB131133:BQC131133 BZX131133:BZY131133 CJT131133:CJU131133 CTP131133:CTQ131133 DDL131133:DDM131133 DNH131133:DNI131133 DXD131133:DXE131133 EGZ131133:EHA131133 EQV131133:EQW131133 FAR131133:FAS131133 FKN131133:FKO131133 FUJ131133:FUK131133 GEF131133:GEG131133 GOB131133:GOC131133 GXX131133:GXY131133 HHT131133:HHU131133 HRP131133:HRQ131133 IBL131133:IBM131133 ILH131133:ILI131133 IVD131133:IVE131133 JEZ131133:JFA131133 JOV131133:JOW131133 JYR131133:JYS131133 KIN131133:KIO131133 KSJ131133:KSK131133 LCF131133:LCG131133 LMB131133:LMC131133 LVX131133:LVY131133 MFT131133:MFU131133 MPP131133:MPQ131133 MZL131133:MZM131133 NJH131133:NJI131133 NTD131133:NTE131133 OCZ131133:ODA131133 OMV131133:OMW131133 OWR131133:OWS131133 PGN131133:PGO131133 PQJ131133:PQK131133 QAF131133:QAG131133 QKB131133:QKC131133 QTX131133:QTY131133 RDT131133:RDU131133 RNP131133:RNQ131133 RXL131133:RXM131133 SHH131133:SHI131133 SRD131133:SRE131133 TAZ131133:TBA131133 TKV131133:TKW131133 TUR131133:TUS131133 UEN131133:UEO131133 UOJ131133:UOK131133 UYF131133:UYG131133 VIB131133:VIC131133 VRX131133:VRY131133 WBT131133:WBU131133 WLP131133:WLQ131133 WVL131133:WVM131133 D196669:E196669 IZ196669:JA196669 SV196669:SW196669 ACR196669:ACS196669 AMN196669:AMO196669 AWJ196669:AWK196669 BGF196669:BGG196669 BQB196669:BQC196669 BZX196669:BZY196669 CJT196669:CJU196669 CTP196669:CTQ196669 DDL196669:DDM196669 DNH196669:DNI196669 DXD196669:DXE196669 EGZ196669:EHA196669 EQV196669:EQW196669 FAR196669:FAS196669 FKN196669:FKO196669 FUJ196669:FUK196669 GEF196669:GEG196669 GOB196669:GOC196669 GXX196669:GXY196669 HHT196669:HHU196669 HRP196669:HRQ196669 IBL196669:IBM196669 ILH196669:ILI196669 IVD196669:IVE196669 JEZ196669:JFA196669 JOV196669:JOW196669 JYR196669:JYS196669 KIN196669:KIO196669 KSJ196669:KSK196669 LCF196669:LCG196669 LMB196669:LMC196669 LVX196669:LVY196669 MFT196669:MFU196669 MPP196669:MPQ196669 MZL196669:MZM196669 NJH196669:NJI196669 NTD196669:NTE196669 OCZ196669:ODA196669 OMV196669:OMW196669 OWR196669:OWS196669 PGN196669:PGO196669 PQJ196669:PQK196669 QAF196669:QAG196669 QKB196669:QKC196669 QTX196669:QTY196669 RDT196669:RDU196669 RNP196669:RNQ196669 RXL196669:RXM196669 SHH196669:SHI196669 SRD196669:SRE196669 TAZ196669:TBA196669 TKV196669:TKW196669 TUR196669:TUS196669 UEN196669:UEO196669 UOJ196669:UOK196669 UYF196669:UYG196669 VIB196669:VIC196669 VRX196669:VRY196669 WBT196669:WBU196669 WLP196669:WLQ196669 WVL196669:WVM196669 D262205:E262205 IZ262205:JA262205 SV262205:SW262205 ACR262205:ACS262205 AMN262205:AMO262205 AWJ262205:AWK262205 BGF262205:BGG262205 BQB262205:BQC262205 BZX262205:BZY262205 CJT262205:CJU262205 CTP262205:CTQ262205 DDL262205:DDM262205 DNH262205:DNI262205 DXD262205:DXE262205 EGZ262205:EHA262205 EQV262205:EQW262205 FAR262205:FAS262205 FKN262205:FKO262205 FUJ262205:FUK262205 GEF262205:GEG262205 GOB262205:GOC262205 GXX262205:GXY262205 HHT262205:HHU262205 HRP262205:HRQ262205 IBL262205:IBM262205 ILH262205:ILI262205 IVD262205:IVE262205 JEZ262205:JFA262205 JOV262205:JOW262205 JYR262205:JYS262205 KIN262205:KIO262205 KSJ262205:KSK262205 LCF262205:LCG262205 LMB262205:LMC262205 LVX262205:LVY262205 MFT262205:MFU262205 MPP262205:MPQ262205 MZL262205:MZM262205 NJH262205:NJI262205 NTD262205:NTE262205 OCZ262205:ODA262205 OMV262205:OMW262205 OWR262205:OWS262205 PGN262205:PGO262205 PQJ262205:PQK262205 QAF262205:QAG262205 QKB262205:QKC262205 QTX262205:QTY262205 RDT262205:RDU262205 RNP262205:RNQ262205 RXL262205:RXM262205 SHH262205:SHI262205 SRD262205:SRE262205 TAZ262205:TBA262205 TKV262205:TKW262205 TUR262205:TUS262205 UEN262205:UEO262205 UOJ262205:UOK262205 UYF262205:UYG262205 VIB262205:VIC262205 VRX262205:VRY262205 WBT262205:WBU262205 WLP262205:WLQ262205 WVL262205:WVM262205 D327741:E327741 IZ327741:JA327741 SV327741:SW327741 ACR327741:ACS327741 AMN327741:AMO327741 AWJ327741:AWK327741 BGF327741:BGG327741 BQB327741:BQC327741 BZX327741:BZY327741 CJT327741:CJU327741 CTP327741:CTQ327741 DDL327741:DDM327741 DNH327741:DNI327741 DXD327741:DXE327741 EGZ327741:EHA327741 EQV327741:EQW327741 FAR327741:FAS327741 FKN327741:FKO327741 FUJ327741:FUK327741 GEF327741:GEG327741 GOB327741:GOC327741 GXX327741:GXY327741 HHT327741:HHU327741 HRP327741:HRQ327741 IBL327741:IBM327741 ILH327741:ILI327741 IVD327741:IVE327741 JEZ327741:JFA327741 JOV327741:JOW327741 JYR327741:JYS327741 KIN327741:KIO327741 KSJ327741:KSK327741 LCF327741:LCG327741 LMB327741:LMC327741 LVX327741:LVY327741 MFT327741:MFU327741 MPP327741:MPQ327741 MZL327741:MZM327741 NJH327741:NJI327741 NTD327741:NTE327741 OCZ327741:ODA327741 OMV327741:OMW327741 OWR327741:OWS327741 PGN327741:PGO327741 PQJ327741:PQK327741 QAF327741:QAG327741 QKB327741:QKC327741 QTX327741:QTY327741 RDT327741:RDU327741 RNP327741:RNQ327741 RXL327741:RXM327741 SHH327741:SHI327741 SRD327741:SRE327741 TAZ327741:TBA327741 TKV327741:TKW327741 TUR327741:TUS327741 UEN327741:UEO327741 UOJ327741:UOK327741 UYF327741:UYG327741 VIB327741:VIC327741 VRX327741:VRY327741 WBT327741:WBU327741 WLP327741:WLQ327741 WVL327741:WVM327741 D393277:E393277 IZ393277:JA393277 SV393277:SW393277 ACR393277:ACS393277 AMN393277:AMO393277 AWJ393277:AWK393277 BGF393277:BGG393277 BQB393277:BQC393277 BZX393277:BZY393277 CJT393277:CJU393277 CTP393277:CTQ393277 DDL393277:DDM393277 DNH393277:DNI393277 DXD393277:DXE393277 EGZ393277:EHA393277 EQV393277:EQW393277 FAR393277:FAS393277 FKN393277:FKO393277 FUJ393277:FUK393277 GEF393277:GEG393277 GOB393277:GOC393277 GXX393277:GXY393277 HHT393277:HHU393277 HRP393277:HRQ393277 IBL393277:IBM393277 ILH393277:ILI393277 IVD393277:IVE393277 JEZ393277:JFA393277 JOV393277:JOW393277 JYR393277:JYS393277 KIN393277:KIO393277 KSJ393277:KSK393277 LCF393277:LCG393277 LMB393277:LMC393277 LVX393277:LVY393277 MFT393277:MFU393277 MPP393277:MPQ393277 MZL393277:MZM393277 NJH393277:NJI393277 NTD393277:NTE393277 OCZ393277:ODA393277 OMV393277:OMW393277 OWR393277:OWS393277 PGN393277:PGO393277 PQJ393277:PQK393277 QAF393277:QAG393277 QKB393277:QKC393277 QTX393277:QTY393277 RDT393277:RDU393277 RNP393277:RNQ393277 RXL393277:RXM393277 SHH393277:SHI393277 SRD393277:SRE393277 TAZ393277:TBA393277 TKV393277:TKW393277 TUR393277:TUS393277 UEN393277:UEO393277 UOJ393277:UOK393277 UYF393277:UYG393277 VIB393277:VIC393277 VRX393277:VRY393277 WBT393277:WBU393277 WLP393277:WLQ393277 WVL393277:WVM393277 D458813:E458813 IZ458813:JA458813 SV458813:SW458813 ACR458813:ACS458813 AMN458813:AMO458813 AWJ458813:AWK458813 BGF458813:BGG458813 BQB458813:BQC458813 BZX458813:BZY458813 CJT458813:CJU458813 CTP458813:CTQ458813 DDL458813:DDM458813 DNH458813:DNI458813 DXD458813:DXE458813 EGZ458813:EHA458813 EQV458813:EQW458813 FAR458813:FAS458813 FKN458813:FKO458813 FUJ458813:FUK458813 GEF458813:GEG458813 GOB458813:GOC458813 GXX458813:GXY458813 HHT458813:HHU458813 HRP458813:HRQ458813 IBL458813:IBM458813 ILH458813:ILI458813 IVD458813:IVE458813 JEZ458813:JFA458813 JOV458813:JOW458813 JYR458813:JYS458813 KIN458813:KIO458813 KSJ458813:KSK458813 LCF458813:LCG458813 LMB458813:LMC458813 LVX458813:LVY458813 MFT458813:MFU458813 MPP458813:MPQ458813 MZL458813:MZM458813 NJH458813:NJI458813 NTD458813:NTE458813 OCZ458813:ODA458813 OMV458813:OMW458813 OWR458813:OWS458813 PGN458813:PGO458813 PQJ458813:PQK458813 QAF458813:QAG458813 QKB458813:QKC458813 QTX458813:QTY458813 RDT458813:RDU458813 RNP458813:RNQ458813 RXL458813:RXM458813 SHH458813:SHI458813 SRD458813:SRE458813 TAZ458813:TBA458813 TKV458813:TKW458813 TUR458813:TUS458813 UEN458813:UEO458813 UOJ458813:UOK458813 UYF458813:UYG458813 VIB458813:VIC458813 VRX458813:VRY458813 WBT458813:WBU458813 WLP458813:WLQ458813 WVL458813:WVM458813 D524349:E524349 IZ524349:JA524349 SV524349:SW524349 ACR524349:ACS524349 AMN524349:AMO524349 AWJ524349:AWK524349 BGF524349:BGG524349 BQB524349:BQC524349 BZX524349:BZY524349 CJT524349:CJU524349 CTP524349:CTQ524349 DDL524349:DDM524349 DNH524349:DNI524349 DXD524349:DXE524349 EGZ524349:EHA524349 EQV524349:EQW524349 FAR524349:FAS524349 FKN524349:FKO524349 FUJ524349:FUK524349 GEF524349:GEG524349 GOB524349:GOC524349 GXX524349:GXY524349 HHT524349:HHU524349 HRP524349:HRQ524349 IBL524349:IBM524349 ILH524349:ILI524349 IVD524349:IVE524349 JEZ524349:JFA524349 JOV524349:JOW524349 JYR524349:JYS524349 KIN524349:KIO524349 KSJ524349:KSK524349 LCF524349:LCG524349 LMB524349:LMC524349 LVX524349:LVY524349 MFT524349:MFU524349 MPP524349:MPQ524349 MZL524349:MZM524349 NJH524349:NJI524349 NTD524349:NTE524349 OCZ524349:ODA524349 OMV524349:OMW524349 OWR524349:OWS524349 PGN524349:PGO524349 PQJ524349:PQK524349 QAF524349:QAG524349 QKB524349:QKC524349 QTX524349:QTY524349 RDT524349:RDU524349 RNP524349:RNQ524349 RXL524349:RXM524349 SHH524349:SHI524349 SRD524349:SRE524349 TAZ524349:TBA524349 TKV524349:TKW524349 TUR524349:TUS524349 UEN524349:UEO524349 UOJ524349:UOK524349 UYF524349:UYG524349 VIB524349:VIC524349 VRX524349:VRY524349 WBT524349:WBU524349 WLP524349:WLQ524349 WVL524349:WVM524349 D589885:E589885 IZ589885:JA589885 SV589885:SW589885 ACR589885:ACS589885 AMN589885:AMO589885 AWJ589885:AWK589885 BGF589885:BGG589885 BQB589885:BQC589885 BZX589885:BZY589885 CJT589885:CJU589885 CTP589885:CTQ589885 DDL589885:DDM589885 DNH589885:DNI589885 DXD589885:DXE589885 EGZ589885:EHA589885 EQV589885:EQW589885 FAR589885:FAS589885 FKN589885:FKO589885 FUJ589885:FUK589885 GEF589885:GEG589885 GOB589885:GOC589885 GXX589885:GXY589885 HHT589885:HHU589885 HRP589885:HRQ589885 IBL589885:IBM589885 ILH589885:ILI589885 IVD589885:IVE589885 JEZ589885:JFA589885 JOV589885:JOW589885 JYR589885:JYS589885 KIN589885:KIO589885 KSJ589885:KSK589885 LCF589885:LCG589885 LMB589885:LMC589885 LVX589885:LVY589885 MFT589885:MFU589885 MPP589885:MPQ589885 MZL589885:MZM589885 NJH589885:NJI589885 NTD589885:NTE589885 OCZ589885:ODA589885 OMV589885:OMW589885 OWR589885:OWS589885 PGN589885:PGO589885 PQJ589885:PQK589885 QAF589885:QAG589885 QKB589885:QKC589885 QTX589885:QTY589885 RDT589885:RDU589885 RNP589885:RNQ589885 RXL589885:RXM589885 SHH589885:SHI589885 SRD589885:SRE589885 TAZ589885:TBA589885 TKV589885:TKW589885 TUR589885:TUS589885 UEN589885:UEO589885 UOJ589885:UOK589885 UYF589885:UYG589885 VIB589885:VIC589885 VRX589885:VRY589885 WBT589885:WBU589885 WLP589885:WLQ589885 WVL589885:WVM589885 D655421:E655421 IZ655421:JA655421 SV655421:SW655421 ACR655421:ACS655421 AMN655421:AMO655421 AWJ655421:AWK655421 BGF655421:BGG655421 BQB655421:BQC655421 BZX655421:BZY655421 CJT655421:CJU655421 CTP655421:CTQ655421 DDL655421:DDM655421 DNH655421:DNI655421 DXD655421:DXE655421 EGZ655421:EHA655421 EQV655421:EQW655421 FAR655421:FAS655421 FKN655421:FKO655421 FUJ655421:FUK655421 GEF655421:GEG655421 GOB655421:GOC655421 GXX655421:GXY655421 HHT655421:HHU655421 HRP655421:HRQ655421 IBL655421:IBM655421 ILH655421:ILI655421 IVD655421:IVE655421 JEZ655421:JFA655421 JOV655421:JOW655421 JYR655421:JYS655421 KIN655421:KIO655421 KSJ655421:KSK655421 LCF655421:LCG655421 LMB655421:LMC655421 LVX655421:LVY655421 MFT655421:MFU655421 MPP655421:MPQ655421 MZL655421:MZM655421 NJH655421:NJI655421 NTD655421:NTE655421 OCZ655421:ODA655421 OMV655421:OMW655421 OWR655421:OWS655421 PGN655421:PGO655421 PQJ655421:PQK655421 QAF655421:QAG655421 QKB655421:QKC655421 QTX655421:QTY655421 RDT655421:RDU655421 RNP655421:RNQ655421 RXL655421:RXM655421 SHH655421:SHI655421 SRD655421:SRE655421 TAZ655421:TBA655421 TKV655421:TKW655421 TUR655421:TUS655421 UEN655421:UEO655421 UOJ655421:UOK655421 UYF655421:UYG655421 VIB655421:VIC655421 VRX655421:VRY655421 WBT655421:WBU655421 WLP655421:WLQ655421 WVL655421:WVM655421 D720957:E720957 IZ720957:JA720957 SV720957:SW720957 ACR720957:ACS720957 AMN720957:AMO720957 AWJ720957:AWK720957 BGF720957:BGG720957 BQB720957:BQC720957 BZX720957:BZY720957 CJT720957:CJU720957 CTP720957:CTQ720957 DDL720957:DDM720957 DNH720957:DNI720957 DXD720957:DXE720957 EGZ720957:EHA720957 EQV720957:EQW720957 FAR720957:FAS720957 FKN720957:FKO720957 FUJ720957:FUK720957 GEF720957:GEG720957 GOB720957:GOC720957 GXX720957:GXY720957 HHT720957:HHU720957 HRP720957:HRQ720957 IBL720957:IBM720957 ILH720957:ILI720957 IVD720957:IVE720957 JEZ720957:JFA720957 JOV720957:JOW720957 JYR720957:JYS720957 KIN720957:KIO720957 KSJ720957:KSK720957 LCF720957:LCG720957 LMB720957:LMC720957 LVX720957:LVY720957 MFT720957:MFU720957 MPP720957:MPQ720957 MZL720957:MZM720957 NJH720957:NJI720957 NTD720957:NTE720957 OCZ720957:ODA720957 OMV720957:OMW720957 OWR720957:OWS720957 PGN720957:PGO720957 PQJ720957:PQK720957 QAF720957:QAG720957 QKB720957:QKC720957 QTX720957:QTY720957 RDT720957:RDU720957 RNP720957:RNQ720957 RXL720957:RXM720957 SHH720957:SHI720957 SRD720957:SRE720957 TAZ720957:TBA720957 TKV720957:TKW720957 TUR720957:TUS720957 UEN720957:UEO720957 UOJ720957:UOK720957 UYF720957:UYG720957 VIB720957:VIC720957 VRX720957:VRY720957 WBT720957:WBU720957 WLP720957:WLQ720957 WVL720957:WVM720957 D786493:E786493 IZ786493:JA786493 SV786493:SW786493 ACR786493:ACS786493 AMN786493:AMO786493 AWJ786493:AWK786493 BGF786493:BGG786493 BQB786493:BQC786493 BZX786493:BZY786493 CJT786493:CJU786493 CTP786493:CTQ786493 DDL786493:DDM786493 DNH786493:DNI786493 DXD786493:DXE786493 EGZ786493:EHA786493 EQV786493:EQW786493 FAR786493:FAS786493 FKN786493:FKO786493 FUJ786493:FUK786493 GEF786493:GEG786493 GOB786493:GOC786493 GXX786493:GXY786493 HHT786493:HHU786493 HRP786493:HRQ786493 IBL786493:IBM786493 ILH786493:ILI786493 IVD786493:IVE786493 JEZ786493:JFA786493 JOV786493:JOW786493 JYR786493:JYS786493 KIN786493:KIO786493 KSJ786493:KSK786493 LCF786493:LCG786493 LMB786493:LMC786493 LVX786493:LVY786493 MFT786493:MFU786493 MPP786493:MPQ786493 MZL786493:MZM786493 NJH786493:NJI786493 NTD786493:NTE786493 OCZ786493:ODA786493 OMV786493:OMW786493 OWR786493:OWS786493 PGN786493:PGO786493 PQJ786493:PQK786493 QAF786493:QAG786493 QKB786493:QKC786493 QTX786493:QTY786493 RDT786493:RDU786493 RNP786493:RNQ786493 RXL786493:RXM786493 SHH786493:SHI786493 SRD786493:SRE786493 TAZ786493:TBA786493 TKV786493:TKW786493 TUR786493:TUS786493 UEN786493:UEO786493 UOJ786493:UOK786493 UYF786493:UYG786493 VIB786493:VIC786493 VRX786493:VRY786493 WBT786493:WBU786493 WLP786493:WLQ786493 WVL786493:WVM786493 D852029:E852029 IZ852029:JA852029 SV852029:SW852029 ACR852029:ACS852029 AMN852029:AMO852029 AWJ852029:AWK852029 BGF852029:BGG852029 BQB852029:BQC852029 BZX852029:BZY852029 CJT852029:CJU852029 CTP852029:CTQ852029 DDL852029:DDM852029 DNH852029:DNI852029 DXD852029:DXE852029 EGZ852029:EHA852029 EQV852029:EQW852029 FAR852029:FAS852029 FKN852029:FKO852029 FUJ852029:FUK852029 GEF852029:GEG852029 GOB852029:GOC852029 GXX852029:GXY852029 HHT852029:HHU852029 HRP852029:HRQ852029 IBL852029:IBM852029 ILH852029:ILI852029 IVD852029:IVE852029 JEZ852029:JFA852029 JOV852029:JOW852029 JYR852029:JYS852029 KIN852029:KIO852029 KSJ852029:KSK852029 LCF852029:LCG852029 LMB852029:LMC852029 LVX852029:LVY852029 MFT852029:MFU852029 MPP852029:MPQ852029 MZL852029:MZM852029 NJH852029:NJI852029 NTD852029:NTE852029 OCZ852029:ODA852029 OMV852029:OMW852029 OWR852029:OWS852029 PGN852029:PGO852029 PQJ852029:PQK852029 QAF852029:QAG852029 QKB852029:QKC852029 QTX852029:QTY852029 RDT852029:RDU852029 RNP852029:RNQ852029 RXL852029:RXM852029 SHH852029:SHI852029 SRD852029:SRE852029 TAZ852029:TBA852029 TKV852029:TKW852029 TUR852029:TUS852029 UEN852029:UEO852029 UOJ852029:UOK852029 UYF852029:UYG852029 VIB852029:VIC852029 VRX852029:VRY852029 WBT852029:WBU852029 WLP852029:WLQ852029 WVL852029:WVM852029 D917565:E917565 IZ917565:JA917565 SV917565:SW917565 ACR917565:ACS917565 AMN917565:AMO917565 AWJ917565:AWK917565 BGF917565:BGG917565 BQB917565:BQC917565 BZX917565:BZY917565 CJT917565:CJU917565 CTP917565:CTQ917565 DDL917565:DDM917565 DNH917565:DNI917565 DXD917565:DXE917565 EGZ917565:EHA917565 EQV917565:EQW917565 FAR917565:FAS917565 FKN917565:FKO917565 FUJ917565:FUK917565 GEF917565:GEG917565 GOB917565:GOC917565 GXX917565:GXY917565 HHT917565:HHU917565 HRP917565:HRQ917565 IBL917565:IBM917565 ILH917565:ILI917565 IVD917565:IVE917565 JEZ917565:JFA917565 JOV917565:JOW917565 JYR917565:JYS917565 KIN917565:KIO917565 KSJ917565:KSK917565 LCF917565:LCG917565 LMB917565:LMC917565 LVX917565:LVY917565 MFT917565:MFU917565 MPP917565:MPQ917565 MZL917565:MZM917565 NJH917565:NJI917565 NTD917565:NTE917565 OCZ917565:ODA917565 OMV917565:OMW917565 OWR917565:OWS917565 PGN917565:PGO917565 PQJ917565:PQK917565 QAF917565:QAG917565 QKB917565:QKC917565 QTX917565:QTY917565 RDT917565:RDU917565 RNP917565:RNQ917565 RXL917565:RXM917565 SHH917565:SHI917565 SRD917565:SRE917565 TAZ917565:TBA917565 TKV917565:TKW917565 TUR917565:TUS917565 UEN917565:UEO917565 UOJ917565:UOK917565 UYF917565:UYG917565 VIB917565:VIC917565 VRX917565:VRY917565 WBT917565:WBU917565 WLP917565:WLQ917565 WVL917565:WVM917565 D983101:E983101 IZ983101:JA983101 SV983101:SW983101 ACR983101:ACS983101 AMN983101:AMO983101 AWJ983101:AWK983101 BGF983101:BGG983101 BQB983101:BQC983101 BZX983101:BZY983101 CJT983101:CJU983101 CTP983101:CTQ983101 DDL983101:DDM983101 DNH983101:DNI983101 DXD983101:DXE983101 EGZ983101:EHA983101 EQV983101:EQW983101 FAR983101:FAS983101 FKN983101:FKO983101 FUJ983101:FUK983101 GEF983101:GEG983101 GOB983101:GOC983101 GXX983101:GXY983101 HHT983101:HHU983101 HRP983101:HRQ983101 IBL983101:IBM983101 ILH983101:ILI983101 IVD983101:IVE983101 JEZ983101:JFA983101 JOV983101:JOW983101 JYR983101:JYS983101 KIN983101:KIO983101 KSJ983101:KSK983101 LCF983101:LCG983101 LMB983101:LMC983101 LVX983101:LVY983101 MFT983101:MFU983101 MPP983101:MPQ983101 MZL983101:MZM983101 NJH983101:NJI983101 NTD983101:NTE983101 OCZ983101:ODA983101 OMV983101:OMW983101 OWR983101:OWS983101 PGN983101:PGO983101 PQJ983101:PQK983101 QAF983101:QAG983101 QKB983101:QKC983101 QTX983101:QTY983101 RDT983101:RDU983101 RNP983101:RNQ983101 RXL983101:RXM983101 SHH983101:SHI983101 SRD983101:SRE983101 TAZ983101:TBA983101 TKV983101:TKW983101 TUR983101:TUS983101 UEN983101:UEO983101 UOJ983101:UOK983101 UYF983101:UYG983101 VIB983101:VIC983101 VRX983101:VRY983101 WBT983101:WBU983101 WLP983101:WLQ983101 WVL983101:WVM983101" xr:uid="{A778859B-42D8-4B2A-BF1F-627AE7643473}">
      <formula1>DHW_Equipment</formula1>
    </dataValidation>
  </dataValidations>
  <pageMargins left="0.25" right="0.25" top="0.25" bottom="0.25" header="0.3" footer="0.3"/>
  <pageSetup scale="93" fitToHeight="2" orientation="portrait" r:id="rId1"/>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rowBreaks count="1" manualBreakCount="1">
    <brk id="42" min="1"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87393" r:id="rId4" name="Option Button 1">
              <controlPr defaultSize="0" autoFill="0" autoLine="0" autoPict="0">
                <anchor moveWithCells="1">
                  <from>
                    <xdr:col>3</xdr:col>
                    <xdr:colOff>146050</xdr:colOff>
                    <xdr:row>21</xdr:row>
                    <xdr:rowOff>0</xdr:rowOff>
                  </from>
                  <to>
                    <xdr:col>3</xdr:col>
                    <xdr:colOff>774700</xdr:colOff>
                    <xdr:row>21</xdr:row>
                    <xdr:rowOff>209550</xdr:rowOff>
                  </to>
                </anchor>
              </controlPr>
            </control>
          </mc:Choice>
        </mc:AlternateContent>
        <mc:AlternateContent xmlns:mc="http://schemas.openxmlformats.org/markup-compatibility/2006">
          <mc:Choice Requires="x14">
            <control shapeId="187394" r:id="rId5" name="Option Button 2">
              <controlPr defaultSize="0" autoFill="0" autoLine="0" autoPict="0">
                <anchor moveWithCells="1">
                  <from>
                    <xdr:col>3</xdr:col>
                    <xdr:colOff>1098550</xdr:colOff>
                    <xdr:row>21</xdr:row>
                    <xdr:rowOff>0</xdr:rowOff>
                  </from>
                  <to>
                    <xdr:col>4</xdr:col>
                    <xdr:colOff>342900</xdr:colOff>
                    <xdr:row>21</xdr:row>
                    <xdr:rowOff>209550</xdr:rowOff>
                  </to>
                </anchor>
              </controlPr>
            </control>
          </mc:Choice>
        </mc:AlternateContent>
        <mc:AlternateContent xmlns:mc="http://schemas.openxmlformats.org/markup-compatibility/2006">
          <mc:Choice Requires="x14">
            <control shapeId="187395" r:id="rId6" name="Group Box 3">
              <controlPr defaultSize="0" autoFill="0" autoPict="0">
                <anchor moveWithCells="1">
                  <from>
                    <xdr:col>4</xdr:col>
                    <xdr:colOff>660400</xdr:colOff>
                    <xdr:row>32</xdr:row>
                    <xdr:rowOff>12700</xdr:rowOff>
                  </from>
                  <to>
                    <xdr:col>6</xdr:col>
                    <xdr:colOff>527050</xdr:colOff>
                    <xdr:row>33</xdr:row>
                    <xdr:rowOff>0</xdr:rowOff>
                  </to>
                </anchor>
              </controlPr>
            </control>
          </mc:Choice>
        </mc:AlternateContent>
        <mc:AlternateContent xmlns:mc="http://schemas.openxmlformats.org/markup-compatibility/2006">
          <mc:Choice Requires="x14">
            <control shapeId="187396" r:id="rId7" name="Group Box 4">
              <controlPr defaultSize="0" autoFill="0" autoPict="0">
                <anchor moveWithCells="1">
                  <from>
                    <xdr:col>4</xdr:col>
                    <xdr:colOff>660400</xdr:colOff>
                    <xdr:row>33</xdr:row>
                    <xdr:rowOff>57150</xdr:rowOff>
                  </from>
                  <to>
                    <xdr:col>6</xdr:col>
                    <xdr:colOff>527050</xdr:colOff>
                    <xdr:row>34</xdr:row>
                    <xdr:rowOff>12700</xdr:rowOff>
                  </to>
                </anchor>
              </controlPr>
            </control>
          </mc:Choice>
        </mc:AlternateContent>
        <mc:AlternateContent xmlns:mc="http://schemas.openxmlformats.org/markup-compatibility/2006">
          <mc:Choice Requires="x14">
            <control shapeId="187397" r:id="rId8" name="Group Box 5">
              <controlPr defaultSize="0" autoFill="0" autoPict="0">
                <anchor moveWithCells="1">
                  <from>
                    <xdr:col>4</xdr:col>
                    <xdr:colOff>660400</xdr:colOff>
                    <xdr:row>34</xdr:row>
                    <xdr:rowOff>88900</xdr:rowOff>
                  </from>
                  <to>
                    <xdr:col>6</xdr:col>
                    <xdr:colOff>527050</xdr:colOff>
                    <xdr:row>35</xdr:row>
                    <xdr:rowOff>12700</xdr:rowOff>
                  </to>
                </anchor>
              </controlPr>
            </control>
          </mc:Choice>
        </mc:AlternateContent>
        <mc:AlternateContent xmlns:mc="http://schemas.openxmlformats.org/markup-compatibility/2006">
          <mc:Choice Requires="x14">
            <control shapeId="187398" r:id="rId9" name="Group Box 6">
              <controlPr defaultSize="0" autoFill="0" autoPict="0">
                <anchor moveWithCells="1">
                  <from>
                    <xdr:col>10</xdr:col>
                    <xdr:colOff>374650</xdr:colOff>
                    <xdr:row>32</xdr:row>
                    <xdr:rowOff>12700</xdr:rowOff>
                  </from>
                  <to>
                    <xdr:col>13</xdr:col>
                    <xdr:colOff>12700</xdr:colOff>
                    <xdr:row>33</xdr:row>
                    <xdr:rowOff>12700</xdr:rowOff>
                  </to>
                </anchor>
              </controlPr>
            </control>
          </mc:Choice>
        </mc:AlternateContent>
        <mc:AlternateContent xmlns:mc="http://schemas.openxmlformats.org/markup-compatibility/2006">
          <mc:Choice Requires="x14">
            <control shapeId="187399" r:id="rId10" name="Group Box 7">
              <controlPr defaultSize="0" autoFill="0" autoPict="0">
                <anchor moveWithCells="1">
                  <from>
                    <xdr:col>10</xdr:col>
                    <xdr:colOff>374650</xdr:colOff>
                    <xdr:row>33</xdr:row>
                    <xdr:rowOff>88900</xdr:rowOff>
                  </from>
                  <to>
                    <xdr:col>13</xdr:col>
                    <xdr:colOff>12700</xdr:colOff>
                    <xdr:row>34</xdr:row>
                    <xdr:rowOff>31750</xdr:rowOff>
                  </to>
                </anchor>
              </controlPr>
            </control>
          </mc:Choice>
        </mc:AlternateContent>
        <mc:AlternateContent xmlns:mc="http://schemas.openxmlformats.org/markup-compatibility/2006">
          <mc:Choice Requires="x14">
            <control shapeId="187400" r:id="rId11" name="Group Box 8">
              <controlPr defaultSize="0" autoFill="0" autoPict="0">
                <anchor moveWithCells="1">
                  <from>
                    <xdr:col>10</xdr:col>
                    <xdr:colOff>374650</xdr:colOff>
                    <xdr:row>34</xdr:row>
                    <xdr:rowOff>88900</xdr:rowOff>
                  </from>
                  <to>
                    <xdr:col>13</xdr:col>
                    <xdr:colOff>38100</xdr:colOff>
                    <xdr:row>35</xdr:row>
                    <xdr:rowOff>57150</xdr:rowOff>
                  </to>
                </anchor>
              </controlPr>
            </control>
          </mc:Choice>
        </mc:AlternateContent>
        <mc:AlternateContent xmlns:mc="http://schemas.openxmlformats.org/markup-compatibility/2006">
          <mc:Choice Requires="x14">
            <control shapeId="187401" r:id="rId12" name="Group Box 9">
              <controlPr defaultSize="0" autoFill="0" autoPict="0">
                <anchor moveWithCells="1">
                  <from>
                    <xdr:col>4</xdr:col>
                    <xdr:colOff>660400</xdr:colOff>
                    <xdr:row>48</xdr:row>
                    <xdr:rowOff>12700</xdr:rowOff>
                  </from>
                  <to>
                    <xdr:col>6</xdr:col>
                    <xdr:colOff>527050</xdr:colOff>
                    <xdr:row>49</xdr:row>
                    <xdr:rowOff>0</xdr:rowOff>
                  </to>
                </anchor>
              </controlPr>
            </control>
          </mc:Choice>
        </mc:AlternateContent>
        <mc:AlternateContent xmlns:mc="http://schemas.openxmlformats.org/markup-compatibility/2006">
          <mc:Choice Requires="x14">
            <control shapeId="187402" r:id="rId13" name="Group Box 10">
              <controlPr defaultSize="0" autoFill="0" autoPict="0">
                <anchor moveWithCells="1">
                  <from>
                    <xdr:col>4</xdr:col>
                    <xdr:colOff>660400</xdr:colOff>
                    <xdr:row>49</xdr:row>
                    <xdr:rowOff>57150</xdr:rowOff>
                  </from>
                  <to>
                    <xdr:col>6</xdr:col>
                    <xdr:colOff>527050</xdr:colOff>
                    <xdr:row>50</xdr:row>
                    <xdr:rowOff>12700</xdr:rowOff>
                  </to>
                </anchor>
              </controlPr>
            </control>
          </mc:Choice>
        </mc:AlternateContent>
        <mc:AlternateContent xmlns:mc="http://schemas.openxmlformats.org/markup-compatibility/2006">
          <mc:Choice Requires="x14">
            <control shapeId="187403" r:id="rId14" name="Group Box 11">
              <controlPr defaultSize="0" autoFill="0" autoPict="0">
                <anchor moveWithCells="1">
                  <from>
                    <xdr:col>4</xdr:col>
                    <xdr:colOff>660400</xdr:colOff>
                    <xdr:row>50</xdr:row>
                    <xdr:rowOff>88900</xdr:rowOff>
                  </from>
                  <to>
                    <xdr:col>6</xdr:col>
                    <xdr:colOff>527050</xdr:colOff>
                    <xdr:row>51</xdr:row>
                    <xdr:rowOff>19050</xdr:rowOff>
                  </to>
                </anchor>
              </controlPr>
            </control>
          </mc:Choice>
        </mc:AlternateContent>
        <mc:AlternateContent xmlns:mc="http://schemas.openxmlformats.org/markup-compatibility/2006">
          <mc:Choice Requires="x14">
            <control shapeId="187404" r:id="rId15" name="Group Box 12">
              <controlPr defaultSize="0" autoFill="0" autoPict="0">
                <anchor moveWithCells="1">
                  <from>
                    <xdr:col>10</xdr:col>
                    <xdr:colOff>374650</xdr:colOff>
                    <xdr:row>48</xdr:row>
                    <xdr:rowOff>12700</xdr:rowOff>
                  </from>
                  <to>
                    <xdr:col>13</xdr:col>
                    <xdr:colOff>12700</xdr:colOff>
                    <xdr:row>49</xdr:row>
                    <xdr:rowOff>12700</xdr:rowOff>
                  </to>
                </anchor>
              </controlPr>
            </control>
          </mc:Choice>
        </mc:AlternateContent>
        <mc:AlternateContent xmlns:mc="http://schemas.openxmlformats.org/markup-compatibility/2006">
          <mc:Choice Requires="x14">
            <control shapeId="187405" r:id="rId16" name="Group Box 13">
              <controlPr defaultSize="0" autoFill="0" autoPict="0">
                <anchor moveWithCells="1">
                  <from>
                    <xdr:col>10</xdr:col>
                    <xdr:colOff>374650</xdr:colOff>
                    <xdr:row>49</xdr:row>
                    <xdr:rowOff>88900</xdr:rowOff>
                  </from>
                  <to>
                    <xdr:col>13</xdr:col>
                    <xdr:colOff>12700</xdr:colOff>
                    <xdr:row>50</xdr:row>
                    <xdr:rowOff>31750</xdr:rowOff>
                  </to>
                </anchor>
              </controlPr>
            </control>
          </mc:Choice>
        </mc:AlternateContent>
        <mc:AlternateContent xmlns:mc="http://schemas.openxmlformats.org/markup-compatibility/2006">
          <mc:Choice Requires="x14">
            <control shapeId="187406" r:id="rId17" name="Group Box 14">
              <controlPr defaultSize="0" autoFill="0" autoPict="0">
                <anchor moveWithCells="1">
                  <from>
                    <xdr:col>10</xdr:col>
                    <xdr:colOff>374650</xdr:colOff>
                    <xdr:row>50</xdr:row>
                    <xdr:rowOff>88900</xdr:rowOff>
                  </from>
                  <to>
                    <xdr:col>13</xdr:col>
                    <xdr:colOff>38100</xdr:colOff>
                    <xdr:row>51</xdr:row>
                    <xdr:rowOff>38100</xdr:rowOff>
                  </to>
                </anchor>
              </controlPr>
            </control>
          </mc:Choice>
        </mc:AlternateContent>
        <mc:AlternateContent xmlns:mc="http://schemas.openxmlformats.org/markup-compatibility/2006">
          <mc:Choice Requires="x14">
            <control shapeId="187407" r:id="rId18" name="Group Box 15">
              <controlPr defaultSize="0" autoFill="0" autoPict="0">
                <anchor moveWithCells="1">
                  <from>
                    <xdr:col>4</xdr:col>
                    <xdr:colOff>660400</xdr:colOff>
                    <xdr:row>65</xdr:row>
                    <xdr:rowOff>12700</xdr:rowOff>
                  </from>
                  <to>
                    <xdr:col>6</xdr:col>
                    <xdr:colOff>527050</xdr:colOff>
                    <xdr:row>66</xdr:row>
                    <xdr:rowOff>0</xdr:rowOff>
                  </to>
                </anchor>
              </controlPr>
            </control>
          </mc:Choice>
        </mc:AlternateContent>
        <mc:AlternateContent xmlns:mc="http://schemas.openxmlformats.org/markup-compatibility/2006">
          <mc:Choice Requires="x14">
            <control shapeId="187408" r:id="rId19" name="Group Box 16">
              <controlPr defaultSize="0" autoFill="0" autoPict="0">
                <anchor moveWithCells="1">
                  <from>
                    <xdr:col>4</xdr:col>
                    <xdr:colOff>660400</xdr:colOff>
                    <xdr:row>66</xdr:row>
                    <xdr:rowOff>57150</xdr:rowOff>
                  </from>
                  <to>
                    <xdr:col>6</xdr:col>
                    <xdr:colOff>527050</xdr:colOff>
                    <xdr:row>67</xdr:row>
                    <xdr:rowOff>12700</xdr:rowOff>
                  </to>
                </anchor>
              </controlPr>
            </control>
          </mc:Choice>
        </mc:AlternateContent>
        <mc:AlternateContent xmlns:mc="http://schemas.openxmlformats.org/markup-compatibility/2006">
          <mc:Choice Requires="x14">
            <control shapeId="187409" r:id="rId20" name="Group Box 17">
              <controlPr defaultSize="0" autoFill="0" autoPict="0">
                <anchor moveWithCells="1">
                  <from>
                    <xdr:col>4</xdr:col>
                    <xdr:colOff>660400</xdr:colOff>
                    <xdr:row>67</xdr:row>
                    <xdr:rowOff>88900</xdr:rowOff>
                  </from>
                  <to>
                    <xdr:col>6</xdr:col>
                    <xdr:colOff>527050</xdr:colOff>
                    <xdr:row>68</xdr:row>
                    <xdr:rowOff>19050</xdr:rowOff>
                  </to>
                </anchor>
              </controlPr>
            </control>
          </mc:Choice>
        </mc:AlternateContent>
        <mc:AlternateContent xmlns:mc="http://schemas.openxmlformats.org/markup-compatibility/2006">
          <mc:Choice Requires="x14">
            <control shapeId="187410" r:id="rId21" name="Group Box 18">
              <controlPr defaultSize="0" autoFill="0" autoPict="0">
                <anchor moveWithCells="1">
                  <from>
                    <xdr:col>10</xdr:col>
                    <xdr:colOff>374650</xdr:colOff>
                    <xdr:row>65</xdr:row>
                    <xdr:rowOff>12700</xdr:rowOff>
                  </from>
                  <to>
                    <xdr:col>13</xdr:col>
                    <xdr:colOff>12700</xdr:colOff>
                    <xdr:row>66</xdr:row>
                    <xdr:rowOff>12700</xdr:rowOff>
                  </to>
                </anchor>
              </controlPr>
            </control>
          </mc:Choice>
        </mc:AlternateContent>
        <mc:AlternateContent xmlns:mc="http://schemas.openxmlformats.org/markup-compatibility/2006">
          <mc:Choice Requires="x14">
            <control shapeId="187411" r:id="rId22" name="Group Box 19">
              <controlPr defaultSize="0" autoFill="0" autoPict="0">
                <anchor moveWithCells="1">
                  <from>
                    <xdr:col>10</xdr:col>
                    <xdr:colOff>374650</xdr:colOff>
                    <xdr:row>66</xdr:row>
                    <xdr:rowOff>88900</xdr:rowOff>
                  </from>
                  <to>
                    <xdr:col>13</xdr:col>
                    <xdr:colOff>12700</xdr:colOff>
                    <xdr:row>67</xdr:row>
                    <xdr:rowOff>31750</xdr:rowOff>
                  </to>
                </anchor>
              </controlPr>
            </control>
          </mc:Choice>
        </mc:AlternateContent>
        <mc:AlternateContent xmlns:mc="http://schemas.openxmlformats.org/markup-compatibility/2006">
          <mc:Choice Requires="x14">
            <control shapeId="187412" r:id="rId23" name="Group Box 20">
              <controlPr defaultSize="0" autoFill="0" autoPict="0">
                <anchor moveWithCells="1">
                  <from>
                    <xdr:col>10</xdr:col>
                    <xdr:colOff>374650</xdr:colOff>
                    <xdr:row>67</xdr:row>
                    <xdr:rowOff>88900</xdr:rowOff>
                  </from>
                  <to>
                    <xdr:col>13</xdr:col>
                    <xdr:colOff>38100</xdr:colOff>
                    <xdr:row>68</xdr:row>
                    <xdr:rowOff>38100</xdr:rowOff>
                  </to>
                </anchor>
              </controlPr>
            </control>
          </mc:Choice>
        </mc:AlternateContent>
        <mc:AlternateContent xmlns:mc="http://schemas.openxmlformats.org/markup-compatibility/2006">
          <mc:Choice Requires="x14">
            <control shapeId="187413" r:id="rId24" name="Group Box 21">
              <controlPr defaultSize="0" autoFill="0" autoPict="0">
                <anchor moveWithCells="1">
                  <from>
                    <xdr:col>2</xdr:col>
                    <xdr:colOff>1212850</xdr:colOff>
                    <xdr:row>19</xdr:row>
                    <xdr:rowOff>260350</xdr:rowOff>
                  </from>
                  <to>
                    <xdr:col>4</xdr:col>
                    <xdr:colOff>723900</xdr:colOff>
                    <xdr:row>23</xdr:row>
                    <xdr:rowOff>146050</xdr:rowOff>
                  </to>
                </anchor>
              </controlPr>
            </control>
          </mc:Choice>
        </mc:AlternateContent>
        <mc:AlternateContent xmlns:mc="http://schemas.openxmlformats.org/markup-compatibility/2006">
          <mc:Choice Requires="x14">
            <control shapeId="187414" r:id="rId25" name="Group Box 22">
              <controlPr defaultSize="0" autoFill="0" autoPict="0">
                <anchor moveWithCells="1">
                  <from>
                    <xdr:col>4</xdr:col>
                    <xdr:colOff>171450</xdr:colOff>
                    <xdr:row>35</xdr:row>
                    <xdr:rowOff>114300</xdr:rowOff>
                  </from>
                  <to>
                    <xdr:col>6</xdr:col>
                    <xdr:colOff>209550</xdr:colOff>
                    <xdr:row>39</xdr:row>
                    <xdr:rowOff>31750</xdr:rowOff>
                  </to>
                </anchor>
              </controlPr>
            </control>
          </mc:Choice>
        </mc:AlternateContent>
        <mc:AlternateContent xmlns:mc="http://schemas.openxmlformats.org/markup-compatibility/2006">
          <mc:Choice Requires="x14">
            <control shapeId="187415" r:id="rId26" name="Group Box 23">
              <controlPr defaultSize="0" autoFill="0" autoPict="0">
                <anchor moveWithCells="1">
                  <from>
                    <xdr:col>6</xdr:col>
                    <xdr:colOff>723900</xdr:colOff>
                    <xdr:row>35</xdr:row>
                    <xdr:rowOff>127000</xdr:rowOff>
                  </from>
                  <to>
                    <xdr:col>10</xdr:col>
                    <xdr:colOff>107950</xdr:colOff>
                    <xdr:row>39</xdr:row>
                    <xdr:rowOff>76200</xdr:rowOff>
                  </to>
                </anchor>
              </controlPr>
            </control>
          </mc:Choice>
        </mc:AlternateContent>
        <mc:AlternateContent xmlns:mc="http://schemas.openxmlformats.org/markup-compatibility/2006">
          <mc:Choice Requires="x14">
            <control shapeId="187416" r:id="rId27" name="Group Box 24">
              <controlPr defaultSize="0" autoFill="0" autoPict="0">
                <anchor moveWithCells="1">
                  <from>
                    <xdr:col>4</xdr:col>
                    <xdr:colOff>260350</xdr:colOff>
                    <xdr:row>51</xdr:row>
                    <xdr:rowOff>184150</xdr:rowOff>
                  </from>
                  <to>
                    <xdr:col>6</xdr:col>
                    <xdr:colOff>190500</xdr:colOff>
                    <xdr:row>55</xdr:row>
                    <xdr:rowOff>146050</xdr:rowOff>
                  </to>
                </anchor>
              </controlPr>
            </control>
          </mc:Choice>
        </mc:AlternateContent>
        <mc:AlternateContent xmlns:mc="http://schemas.openxmlformats.org/markup-compatibility/2006">
          <mc:Choice Requires="x14">
            <control shapeId="187417" r:id="rId28" name="Group Box 25">
              <controlPr defaultSize="0" autoFill="0" autoPict="0">
                <anchor moveWithCells="1">
                  <from>
                    <xdr:col>6</xdr:col>
                    <xdr:colOff>679450</xdr:colOff>
                    <xdr:row>51</xdr:row>
                    <xdr:rowOff>152400</xdr:rowOff>
                  </from>
                  <to>
                    <xdr:col>10</xdr:col>
                    <xdr:colOff>285750</xdr:colOff>
                    <xdr:row>55</xdr:row>
                    <xdr:rowOff>203200</xdr:rowOff>
                  </to>
                </anchor>
              </controlPr>
            </control>
          </mc:Choice>
        </mc:AlternateContent>
        <mc:AlternateContent xmlns:mc="http://schemas.openxmlformats.org/markup-compatibility/2006">
          <mc:Choice Requires="x14">
            <control shapeId="187418" r:id="rId29" name="Group Box 26">
              <controlPr defaultSize="0" autoFill="0" autoPict="0">
                <anchor moveWithCells="1">
                  <from>
                    <xdr:col>3</xdr:col>
                    <xdr:colOff>1346200</xdr:colOff>
                    <xdr:row>68</xdr:row>
                    <xdr:rowOff>184150</xdr:rowOff>
                  </from>
                  <to>
                    <xdr:col>6</xdr:col>
                    <xdr:colOff>342900</xdr:colOff>
                    <xdr:row>73</xdr:row>
                    <xdr:rowOff>50800</xdr:rowOff>
                  </to>
                </anchor>
              </controlPr>
            </control>
          </mc:Choice>
        </mc:AlternateContent>
        <mc:AlternateContent xmlns:mc="http://schemas.openxmlformats.org/markup-compatibility/2006">
          <mc:Choice Requires="x14">
            <control shapeId="187419" r:id="rId30" name="Group Box 27">
              <controlPr defaultSize="0" autoFill="0" autoPict="0">
                <anchor moveWithCells="1">
                  <from>
                    <xdr:col>6</xdr:col>
                    <xdr:colOff>781050</xdr:colOff>
                    <xdr:row>68</xdr:row>
                    <xdr:rowOff>209550</xdr:rowOff>
                  </from>
                  <to>
                    <xdr:col>10</xdr:col>
                    <xdr:colOff>342900</xdr:colOff>
                    <xdr:row>72</xdr:row>
                    <xdr:rowOff>203200</xdr:rowOff>
                  </to>
                </anchor>
              </controlPr>
            </control>
          </mc:Choice>
        </mc:AlternateContent>
        <mc:AlternateContent xmlns:mc="http://schemas.openxmlformats.org/markup-compatibility/2006">
          <mc:Choice Requires="x14">
            <control shapeId="187420" r:id="rId31" name="Group Box 28">
              <controlPr defaultSize="0" autoFill="0" autoPict="0">
                <anchor moveWithCells="1">
                  <from>
                    <xdr:col>4</xdr:col>
                    <xdr:colOff>660400</xdr:colOff>
                    <xdr:row>33</xdr:row>
                    <xdr:rowOff>12700</xdr:rowOff>
                  </from>
                  <to>
                    <xdr:col>6</xdr:col>
                    <xdr:colOff>527050</xdr:colOff>
                    <xdr:row>34</xdr:row>
                    <xdr:rowOff>0</xdr:rowOff>
                  </to>
                </anchor>
              </controlPr>
            </control>
          </mc:Choice>
        </mc:AlternateContent>
        <mc:AlternateContent xmlns:mc="http://schemas.openxmlformats.org/markup-compatibility/2006">
          <mc:Choice Requires="x14">
            <control shapeId="187421" r:id="rId32" name="Group Box 29">
              <controlPr defaultSize="0" autoFill="0" autoPict="0">
                <anchor moveWithCells="1">
                  <from>
                    <xdr:col>4</xdr:col>
                    <xdr:colOff>660400</xdr:colOff>
                    <xdr:row>34</xdr:row>
                    <xdr:rowOff>12700</xdr:rowOff>
                  </from>
                  <to>
                    <xdr:col>6</xdr:col>
                    <xdr:colOff>527050</xdr:colOff>
                    <xdr:row>35</xdr:row>
                    <xdr:rowOff>0</xdr:rowOff>
                  </to>
                </anchor>
              </controlPr>
            </control>
          </mc:Choice>
        </mc:AlternateContent>
        <mc:AlternateContent xmlns:mc="http://schemas.openxmlformats.org/markup-compatibility/2006">
          <mc:Choice Requires="x14">
            <control shapeId="187422" r:id="rId33" name="Group Box 30">
              <controlPr defaultSize="0" autoFill="0" autoPict="0">
                <anchor moveWithCells="1">
                  <from>
                    <xdr:col>4</xdr:col>
                    <xdr:colOff>660400</xdr:colOff>
                    <xdr:row>33</xdr:row>
                    <xdr:rowOff>12700</xdr:rowOff>
                  </from>
                  <to>
                    <xdr:col>6</xdr:col>
                    <xdr:colOff>527050</xdr:colOff>
                    <xdr:row>34</xdr:row>
                    <xdr:rowOff>0</xdr:rowOff>
                  </to>
                </anchor>
              </controlPr>
            </control>
          </mc:Choice>
        </mc:AlternateContent>
        <mc:AlternateContent xmlns:mc="http://schemas.openxmlformats.org/markup-compatibility/2006">
          <mc:Choice Requires="x14">
            <control shapeId="187423" r:id="rId34" name="Group Box 31">
              <controlPr defaultSize="0" autoFill="0" autoPict="0">
                <anchor moveWithCells="1">
                  <from>
                    <xdr:col>4</xdr:col>
                    <xdr:colOff>660400</xdr:colOff>
                    <xdr:row>34</xdr:row>
                    <xdr:rowOff>12700</xdr:rowOff>
                  </from>
                  <to>
                    <xdr:col>6</xdr:col>
                    <xdr:colOff>527050</xdr:colOff>
                    <xdr:row>35</xdr:row>
                    <xdr:rowOff>0</xdr:rowOff>
                  </to>
                </anchor>
              </controlPr>
            </control>
          </mc:Choice>
        </mc:AlternateContent>
        <mc:AlternateContent xmlns:mc="http://schemas.openxmlformats.org/markup-compatibility/2006">
          <mc:Choice Requires="x14">
            <control shapeId="187424" r:id="rId35" name="Group Box 32">
              <controlPr defaultSize="0" autoFill="0" autoPict="0">
                <anchor moveWithCells="1">
                  <from>
                    <xdr:col>10</xdr:col>
                    <xdr:colOff>374650</xdr:colOff>
                    <xdr:row>33</xdr:row>
                    <xdr:rowOff>12700</xdr:rowOff>
                  </from>
                  <to>
                    <xdr:col>13</xdr:col>
                    <xdr:colOff>12700</xdr:colOff>
                    <xdr:row>34</xdr:row>
                    <xdr:rowOff>12700</xdr:rowOff>
                  </to>
                </anchor>
              </controlPr>
            </control>
          </mc:Choice>
        </mc:AlternateContent>
        <mc:AlternateContent xmlns:mc="http://schemas.openxmlformats.org/markup-compatibility/2006">
          <mc:Choice Requires="x14">
            <control shapeId="187425" r:id="rId36" name="Group Box 33">
              <controlPr defaultSize="0" autoFill="0" autoPict="0">
                <anchor moveWithCells="1">
                  <from>
                    <xdr:col>10</xdr:col>
                    <xdr:colOff>374650</xdr:colOff>
                    <xdr:row>34</xdr:row>
                    <xdr:rowOff>12700</xdr:rowOff>
                  </from>
                  <to>
                    <xdr:col>13</xdr:col>
                    <xdr:colOff>12700</xdr:colOff>
                    <xdr:row>35</xdr:row>
                    <xdr:rowOff>12700</xdr:rowOff>
                  </to>
                </anchor>
              </controlPr>
            </control>
          </mc:Choice>
        </mc:AlternateContent>
        <mc:AlternateContent xmlns:mc="http://schemas.openxmlformats.org/markup-compatibility/2006">
          <mc:Choice Requires="x14">
            <control shapeId="187426" r:id="rId37" name="Group Box 34">
              <controlPr defaultSize="0" autoFill="0" autoPict="0">
                <anchor moveWithCells="1">
                  <from>
                    <xdr:col>4</xdr:col>
                    <xdr:colOff>660400</xdr:colOff>
                    <xdr:row>49</xdr:row>
                    <xdr:rowOff>12700</xdr:rowOff>
                  </from>
                  <to>
                    <xdr:col>6</xdr:col>
                    <xdr:colOff>527050</xdr:colOff>
                    <xdr:row>50</xdr:row>
                    <xdr:rowOff>0</xdr:rowOff>
                  </to>
                </anchor>
              </controlPr>
            </control>
          </mc:Choice>
        </mc:AlternateContent>
        <mc:AlternateContent xmlns:mc="http://schemas.openxmlformats.org/markup-compatibility/2006">
          <mc:Choice Requires="x14">
            <control shapeId="187427" r:id="rId38" name="Group Box 35">
              <controlPr defaultSize="0" autoFill="0" autoPict="0">
                <anchor moveWithCells="1">
                  <from>
                    <xdr:col>4</xdr:col>
                    <xdr:colOff>660400</xdr:colOff>
                    <xdr:row>50</xdr:row>
                    <xdr:rowOff>12700</xdr:rowOff>
                  </from>
                  <to>
                    <xdr:col>6</xdr:col>
                    <xdr:colOff>527050</xdr:colOff>
                    <xdr:row>51</xdr:row>
                    <xdr:rowOff>0</xdr:rowOff>
                  </to>
                </anchor>
              </controlPr>
            </control>
          </mc:Choice>
        </mc:AlternateContent>
        <mc:AlternateContent xmlns:mc="http://schemas.openxmlformats.org/markup-compatibility/2006">
          <mc:Choice Requires="x14">
            <control shapeId="187428" r:id="rId39" name="Group Box 36">
              <controlPr defaultSize="0" autoFill="0" autoPict="0">
                <anchor moveWithCells="1">
                  <from>
                    <xdr:col>10</xdr:col>
                    <xdr:colOff>374650</xdr:colOff>
                    <xdr:row>49</xdr:row>
                    <xdr:rowOff>12700</xdr:rowOff>
                  </from>
                  <to>
                    <xdr:col>13</xdr:col>
                    <xdr:colOff>12700</xdr:colOff>
                    <xdr:row>50</xdr:row>
                    <xdr:rowOff>12700</xdr:rowOff>
                  </to>
                </anchor>
              </controlPr>
            </control>
          </mc:Choice>
        </mc:AlternateContent>
        <mc:AlternateContent xmlns:mc="http://schemas.openxmlformats.org/markup-compatibility/2006">
          <mc:Choice Requires="x14">
            <control shapeId="187429" r:id="rId40" name="Group Box 37">
              <controlPr defaultSize="0" autoFill="0" autoPict="0">
                <anchor moveWithCells="1">
                  <from>
                    <xdr:col>10</xdr:col>
                    <xdr:colOff>374650</xdr:colOff>
                    <xdr:row>50</xdr:row>
                    <xdr:rowOff>12700</xdr:rowOff>
                  </from>
                  <to>
                    <xdr:col>13</xdr:col>
                    <xdr:colOff>12700</xdr:colOff>
                    <xdr:row>51</xdr:row>
                    <xdr:rowOff>12700</xdr:rowOff>
                  </to>
                </anchor>
              </controlPr>
            </control>
          </mc:Choice>
        </mc:AlternateContent>
        <mc:AlternateContent xmlns:mc="http://schemas.openxmlformats.org/markup-compatibility/2006">
          <mc:Choice Requires="x14">
            <control shapeId="187430" r:id="rId41" name="Group Box 38">
              <controlPr defaultSize="0" autoFill="0" autoPict="0">
                <anchor moveWithCells="1">
                  <from>
                    <xdr:col>4</xdr:col>
                    <xdr:colOff>660400</xdr:colOff>
                    <xdr:row>66</xdr:row>
                    <xdr:rowOff>12700</xdr:rowOff>
                  </from>
                  <to>
                    <xdr:col>6</xdr:col>
                    <xdr:colOff>527050</xdr:colOff>
                    <xdr:row>67</xdr:row>
                    <xdr:rowOff>0</xdr:rowOff>
                  </to>
                </anchor>
              </controlPr>
            </control>
          </mc:Choice>
        </mc:AlternateContent>
        <mc:AlternateContent xmlns:mc="http://schemas.openxmlformats.org/markup-compatibility/2006">
          <mc:Choice Requires="x14">
            <control shapeId="187431" r:id="rId42" name="Group Box 39">
              <controlPr defaultSize="0" autoFill="0" autoPict="0">
                <anchor moveWithCells="1">
                  <from>
                    <xdr:col>4</xdr:col>
                    <xdr:colOff>660400</xdr:colOff>
                    <xdr:row>67</xdr:row>
                    <xdr:rowOff>12700</xdr:rowOff>
                  </from>
                  <to>
                    <xdr:col>6</xdr:col>
                    <xdr:colOff>527050</xdr:colOff>
                    <xdr:row>68</xdr:row>
                    <xdr:rowOff>0</xdr:rowOff>
                  </to>
                </anchor>
              </controlPr>
            </control>
          </mc:Choice>
        </mc:AlternateContent>
        <mc:AlternateContent xmlns:mc="http://schemas.openxmlformats.org/markup-compatibility/2006">
          <mc:Choice Requires="x14">
            <control shapeId="187432" r:id="rId43" name="Group Box 40">
              <controlPr defaultSize="0" autoFill="0" autoPict="0">
                <anchor moveWithCells="1">
                  <from>
                    <xdr:col>10</xdr:col>
                    <xdr:colOff>374650</xdr:colOff>
                    <xdr:row>66</xdr:row>
                    <xdr:rowOff>12700</xdr:rowOff>
                  </from>
                  <to>
                    <xdr:col>13</xdr:col>
                    <xdr:colOff>12700</xdr:colOff>
                    <xdr:row>67</xdr:row>
                    <xdr:rowOff>12700</xdr:rowOff>
                  </to>
                </anchor>
              </controlPr>
            </control>
          </mc:Choice>
        </mc:AlternateContent>
        <mc:AlternateContent xmlns:mc="http://schemas.openxmlformats.org/markup-compatibility/2006">
          <mc:Choice Requires="x14">
            <control shapeId="187433" r:id="rId44" name="Group Box 41">
              <controlPr defaultSize="0" autoFill="0" autoPict="0">
                <anchor moveWithCells="1">
                  <from>
                    <xdr:col>10</xdr:col>
                    <xdr:colOff>374650</xdr:colOff>
                    <xdr:row>67</xdr:row>
                    <xdr:rowOff>12700</xdr:rowOff>
                  </from>
                  <to>
                    <xdr:col>13</xdr:col>
                    <xdr:colOff>12700</xdr:colOff>
                    <xdr:row>68</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41C5F0B-E58F-403F-B8ED-A0462B9226C6}">
          <x14:formula1>
            <xm:f>"Pass, Fail"</xm:f>
          </x14:formula1>
          <xm:sqref>F33:G35 JB33:JC35 SX33:SY35 ACT33:ACU35 AMP33:AMQ35 AWL33:AWM35 BGH33:BGI35 BQD33:BQE35 BZZ33:CAA35 CJV33:CJW35 CTR33:CTS35 DDN33:DDO35 DNJ33:DNK35 DXF33:DXG35 EHB33:EHC35 EQX33:EQY35 FAT33:FAU35 FKP33:FKQ35 FUL33:FUM35 GEH33:GEI35 GOD33:GOE35 GXZ33:GYA35 HHV33:HHW35 HRR33:HRS35 IBN33:IBO35 ILJ33:ILK35 IVF33:IVG35 JFB33:JFC35 JOX33:JOY35 JYT33:JYU35 KIP33:KIQ35 KSL33:KSM35 LCH33:LCI35 LMD33:LME35 LVZ33:LWA35 MFV33:MFW35 MPR33:MPS35 MZN33:MZO35 NJJ33:NJK35 NTF33:NTG35 ODB33:ODC35 OMX33:OMY35 OWT33:OWU35 PGP33:PGQ35 PQL33:PQM35 QAH33:QAI35 QKD33:QKE35 QTZ33:QUA35 RDV33:RDW35 RNR33:RNS35 RXN33:RXO35 SHJ33:SHK35 SRF33:SRG35 TBB33:TBC35 TKX33:TKY35 TUT33:TUU35 UEP33:UEQ35 UOL33:UOM35 UYH33:UYI35 VID33:VIE35 VRZ33:VSA35 WBV33:WBW35 WLR33:WLS35 WVN33:WVO35 F65569:G65571 JB65569:JC65571 SX65569:SY65571 ACT65569:ACU65571 AMP65569:AMQ65571 AWL65569:AWM65571 BGH65569:BGI65571 BQD65569:BQE65571 BZZ65569:CAA65571 CJV65569:CJW65571 CTR65569:CTS65571 DDN65569:DDO65571 DNJ65569:DNK65571 DXF65569:DXG65571 EHB65569:EHC65571 EQX65569:EQY65571 FAT65569:FAU65571 FKP65569:FKQ65571 FUL65569:FUM65571 GEH65569:GEI65571 GOD65569:GOE65571 GXZ65569:GYA65571 HHV65569:HHW65571 HRR65569:HRS65571 IBN65569:IBO65571 ILJ65569:ILK65571 IVF65569:IVG65571 JFB65569:JFC65571 JOX65569:JOY65571 JYT65569:JYU65571 KIP65569:KIQ65571 KSL65569:KSM65571 LCH65569:LCI65571 LMD65569:LME65571 LVZ65569:LWA65571 MFV65569:MFW65571 MPR65569:MPS65571 MZN65569:MZO65571 NJJ65569:NJK65571 NTF65569:NTG65571 ODB65569:ODC65571 OMX65569:OMY65571 OWT65569:OWU65571 PGP65569:PGQ65571 PQL65569:PQM65571 QAH65569:QAI65571 QKD65569:QKE65571 QTZ65569:QUA65571 RDV65569:RDW65571 RNR65569:RNS65571 RXN65569:RXO65571 SHJ65569:SHK65571 SRF65569:SRG65571 TBB65569:TBC65571 TKX65569:TKY65571 TUT65569:TUU65571 UEP65569:UEQ65571 UOL65569:UOM65571 UYH65569:UYI65571 VID65569:VIE65571 VRZ65569:VSA65571 WBV65569:WBW65571 WLR65569:WLS65571 WVN65569:WVO65571 F131105:G131107 JB131105:JC131107 SX131105:SY131107 ACT131105:ACU131107 AMP131105:AMQ131107 AWL131105:AWM131107 BGH131105:BGI131107 BQD131105:BQE131107 BZZ131105:CAA131107 CJV131105:CJW131107 CTR131105:CTS131107 DDN131105:DDO131107 DNJ131105:DNK131107 DXF131105:DXG131107 EHB131105:EHC131107 EQX131105:EQY131107 FAT131105:FAU131107 FKP131105:FKQ131107 FUL131105:FUM131107 GEH131105:GEI131107 GOD131105:GOE131107 GXZ131105:GYA131107 HHV131105:HHW131107 HRR131105:HRS131107 IBN131105:IBO131107 ILJ131105:ILK131107 IVF131105:IVG131107 JFB131105:JFC131107 JOX131105:JOY131107 JYT131105:JYU131107 KIP131105:KIQ131107 KSL131105:KSM131107 LCH131105:LCI131107 LMD131105:LME131107 LVZ131105:LWA131107 MFV131105:MFW131107 MPR131105:MPS131107 MZN131105:MZO131107 NJJ131105:NJK131107 NTF131105:NTG131107 ODB131105:ODC131107 OMX131105:OMY131107 OWT131105:OWU131107 PGP131105:PGQ131107 PQL131105:PQM131107 QAH131105:QAI131107 QKD131105:QKE131107 QTZ131105:QUA131107 RDV131105:RDW131107 RNR131105:RNS131107 RXN131105:RXO131107 SHJ131105:SHK131107 SRF131105:SRG131107 TBB131105:TBC131107 TKX131105:TKY131107 TUT131105:TUU131107 UEP131105:UEQ131107 UOL131105:UOM131107 UYH131105:UYI131107 VID131105:VIE131107 VRZ131105:VSA131107 WBV131105:WBW131107 WLR131105:WLS131107 WVN131105:WVO131107 F196641:G196643 JB196641:JC196643 SX196641:SY196643 ACT196641:ACU196643 AMP196641:AMQ196643 AWL196641:AWM196643 BGH196641:BGI196643 BQD196641:BQE196643 BZZ196641:CAA196643 CJV196641:CJW196643 CTR196641:CTS196643 DDN196641:DDO196643 DNJ196641:DNK196643 DXF196641:DXG196643 EHB196641:EHC196643 EQX196641:EQY196643 FAT196641:FAU196643 FKP196641:FKQ196643 FUL196641:FUM196643 GEH196641:GEI196643 GOD196641:GOE196643 GXZ196641:GYA196643 HHV196641:HHW196643 HRR196641:HRS196643 IBN196641:IBO196643 ILJ196641:ILK196643 IVF196641:IVG196643 JFB196641:JFC196643 JOX196641:JOY196643 JYT196641:JYU196643 KIP196641:KIQ196643 KSL196641:KSM196643 LCH196641:LCI196643 LMD196641:LME196643 LVZ196641:LWA196643 MFV196641:MFW196643 MPR196641:MPS196643 MZN196641:MZO196643 NJJ196641:NJK196643 NTF196641:NTG196643 ODB196641:ODC196643 OMX196641:OMY196643 OWT196641:OWU196643 PGP196641:PGQ196643 PQL196641:PQM196643 QAH196641:QAI196643 QKD196641:QKE196643 QTZ196641:QUA196643 RDV196641:RDW196643 RNR196641:RNS196643 RXN196641:RXO196643 SHJ196641:SHK196643 SRF196641:SRG196643 TBB196641:TBC196643 TKX196641:TKY196643 TUT196641:TUU196643 UEP196641:UEQ196643 UOL196641:UOM196643 UYH196641:UYI196643 VID196641:VIE196643 VRZ196641:VSA196643 WBV196641:WBW196643 WLR196641:WLS196643 WVN196641:WVO196643 F262177:G262179 JB262177:JC262179 SX262177:SY262179 ACT262177:ACU262179 AMP262177:AMQ262179 AWL262177:AWM262179 BGH262177:BGI262179 BQD262177:BQE262179 BZZ262177:CAA262179 CJV262177:CJW262179 CTR262177:CTS262179 DDN262177:DDO262179 DNJ262177:DNK262179 DXF262177:DXG262179 EHB262177:EHC262179 EQX262177:EQY262179 FAT262177:FAU262179 FKP262177:FKQ262179 FUL262177:FUM262179 GEH262177:GEI262179 GOD262177:GOE262179 GXZ262177:GYA262179 HHV262177:HHW262179 HRR262177:HRS262179 IBN262177:IBO262179 ILJ262177:ILK262179 IVF262177:IVG262179 JFB262177:JFC262179 JOX262177:JOY262179 JYT262177:JYU262179 KIP262177:KIQ262179 KSL262177:KSM262179 LCH262177:LCI262179 LMD262177:LME262179 LVZ262177:LWA262179 MFV262177:MFW262179 MPR262177:MPS262179 MZN262177:MZO262179 NJJ262177:NJK262179 NTF262177:NTG262179 ODB262177:ODC262179 OMX262177:OMY262179 OWT262177:OWU262179 PGP262177:PGQ262179 PQL262177:PQM262179 QAH262177:QAI262179 QKD262177:QKE262179 QTZ262177:QUA262179 RDV262177:RDW262179 RNR262177:RNS262179 RXN262177:RXO262179 SHJ262177:SHK262179 SRF262177:SRG262179 TBB262177:TBC262179 TKX262177:TKY262179 TUT262177:TUU262179 UEP262177:UEQ262179 UOL262177:UOM262179 UYH262177:UYI262179 VID262177:VIE262179 VRZ262177:VSA262179 WBV262177:WBW262179 WLR262177:WLS262179 WVN262177:WVO262179 F327713:G327715 JB327713:JC327715 SX327713:SY327715 ACT327713:ACU327715 AMP327713:AMQ327715 AWL327713:AWM327715 BGH327713:BGI327715 BQD327713:BQE327715 BZZ327713:CAA327715 CJV327713:CJW327715 CTR327713:CTS327715 DDN327713:DDO327715 DNJ327713:DNK327715 DXF327713:DXG327715 EHB327713:EHC327715 EQX327713:EQY327715 FAT327713:FAU327715 FKP327713:FKQ327715 FUL327713:FUM327715 GEH327713:GEI327715 GOD327713:GOE327715 GXZ327713:GYA327715 HHV327713:HHW327715 HRR327713:HRS327715 IBN327713:IBO327715 ILJ327713:ILK327715 IVF327713:IVG327715 JFB327713:JFC327715 JOX327713:JOY327715 JYT327713:JYU327715 KIP327713:KIQ327715 KSL327713:KSM327715 LCH327713:LCI327715 LMD327713:LME327715 LVZ327713:LWA327715 MFV327713:MFW327715 MPR327713:MPS327715 MZN327713:MZO327715 NJJ327713:NJK327715 NTF327713:NTG327715 ODB327713:ODC327715 OMX327713:OMY327715 OWT327713:OWU327715 PGP327713:PGQ327715 PQL327713:PQM327715 QAH327713:QAI327715 QKD327713:QKE327715 QTZ327713:QUA327715 RDV327713:RDW327715 RNR327713:RNS327715 RXN327713:RXO327715 SHJ327713:SHK327715 SRF327713:SRG327715 TBB327713:TBC327715 TKX327713:TKY327715 TUT327713:TUU327715 UEP327713:UEQ327715 UOL327713:UOM327715 UYH327713:UYI327715 VID327713:VIE327715 VRZ327713:VSA327715 WBV327713:WBW327715 WLR327713:WLS327715 WVN327713:WVO327715 F393249:G393251 JB393249:JC393251 SX393249:SY393251 ACT393249:ACU393251 AMP393249:AMQ393251 AWL393249:AWM393251 BGH393249:BGI393251 BQD393249:BQE393251 BZZ393249:CAA393251 CJV393249:CJW393251 CTR393249:CTS393251 DDN393249:DDO393251 DNJ393249:DNK393251 DXF393249:DXG393251 EHB393249:EHC393251 EQX393249:EQY393251 FAT393249:FAU393251 FKP393249:FKQ393251 FUL393249:FUM393251 GEH393249:GEI393251 GOD393249:GOE393251 GXZ393249:GYA393251 HHV393249:HHW393251 HRR393249:HRS393251 IBN393249:IBO393251 ILJ393249:ILK393251 IVF393249:IVG393251 JFB393249:JFC393251 JOX393249:JOY393251 JYT393249:JYU393251 KIP393249:KIQ393251 KSL393249:KSM393251 LCH393249:LCI393251 LMD393249:LME393251 LVZ393249:LWA393251 MFV393249:MFW393251 MPR393249:MPS393251 MZN393249:MZO393251 NJJ393249:NJK393251 NTF393249:NTG393251 ODB393249:ODC393251 OMX393249:OMY393251 OWT393249:OWU393251 PGP393249:PGQ393251 PQL393249:PQM393251 QAH393249:QAI393251 QKD393249:QKE393251 QTZ393249:QUA393251 RDV393249:RDW393251 RNR393249:RNS393251 RXN393249:RXO393251 SHJ393249:SHK393251 SRF393249:SRG393251 TBB393249:TBC393251 TKX393249:TKY393251 TUT393249:TUU393251 UEP393249:UEQ393251 UOL393249:UOM393251 UYH393249:UYI393251 VID393249:VIE393251 VRZ393249:VSA393251 WBV393249:WBW393251 WLR393249:WLS393251 WVN393249:WVO393251 F458785:G458787 JB458785:JC458787 SX458785:SY458787 ACT458785:ACU458787 AMP458785:AMQ458787 AWL458785:AWM458787 BGH458785:BGI458787 BQD458785:BQE458787 BZZ458785:CAA458787 CJV458785:CJW458787 CTR458785:CTS458787 DDN458785:DDO458787 DNJ458785:DNK458787 DXF458785:DXG458787 EHB458785:EHC458787 EQX458785:EQY458787 FAT458785:FAU458787 FKP458785:FKQ458787 FUL458785:FUM458787 GEH458785:GEI458787 GOD458785:GOE458787 GXZ458785:GYA458787 HHV458785:HHW458787 HRR458785:HRS458787 IBN458785:IBO458787 ILJ458785:ILK458787 IVF458785:IVG458787 JFB458785:JFC458787 JOX458785:JOY458787 JYT458785:JYU458787 KIP458785:KIQ458787 KSL458785:KSM458787 LCH458785:LCI458787 LMD458785:LME458787 LVZ458785:LWA458787 MFV458785:MFW458787 MPR458785:MPS458787 MZN458785:MZO458787 NJJ458785:NJK458787 NTF458785:NTG458787 ODB458785:ODC458787 OMX458785:OMY458787 OWT458785:OWU458787 PGP458785:PGQ458787 PQL458785:PQM458787 QAH458785:QAI458787 QKD458785:QKE458787 QTZ458785:QUA458787 RDV458785:RDW458787 RNR458785:RNS458787 RXN458785:RXO458787 SHJ458785:SHK458787 SRF458785:SRG458787 TBB458785:TBC458787 TKX458785:TKY458787 TUT458785:TUU458787 UEP458785:UEQ458787 UOL458785:UOM458787 UYH458785:UYI458787 VID458785:VIE458787 VRZ458785:VSA458787 WBV458785:WBW458787 WLR458785:WLS458787 WVN458785:WVO458787 F524321:G524323 JB524321:JC524323 SX524321:SY524323 ACT524321:ACU524323 AMP524321:AMQ524323 AWL524321:AWM524323 BGH524321:BGI524323 BQD524321:BQE524323 BZZ524321:CAA524323 CJV524321:CJW524323 CTR524321:CTS524323 DDN524321:DDO524323 DNJ524321:DNK524323 DXF524321:DXG524323 EHB524321:EHC524323 EQX524321:EQY524323 FAT524321:FAU524323 FKP524321:FKQ524323 FUL524321:FUM524323 GEH524321:GEI524323 GOD524321:GOE524323 GXZ524321:GYA524323 HHV524321:HHW524323 HRR524321:HRS524323 IBN524321:IBO524323 ILJ524321:ILK524323 IVF524321:IVG524323 JFB524321:JFC524323 JOX524321:JOY524323 JYT524321:JYU524323 KIP524321:KIQ524323 KSL524321:KSM524323 LCH524321:LCI524323 LMD524321:LME524323 LVZ524321:LWA524323 MFV524321:MFW524323 MPR524321:MPS524323 MZN524321:MZO524323 NJJ524321:NJK524323 NTF524321:NTG524323 ODB524321:ODC524323 OMX524321:OMY524323 OWT524321:OWU524323 PGP524321:PGQ524323 PQL524321:PQM524323 QAH524321:QAI524323 QKD524321:QKE524323 QTZ524321:QUA524323 RDV524321:RDW524323 RNR524321:RNS524323 RXN524321:RXO524323 SHJ524321:SHK524323 SRF524321:SRG524323 TBB524321:TBC524323 TKX524321:TKY524323 TUT524321:TUU524323 UEP524321:UEQ524323 UOL524321:UOM524323 UYH524321:UYI524323 VID524321:VIE524323 VRZ524321:VSA524323 WBV524321:WBW524323 WLR524321:WLS524323 WVN524321:WVO524323 F589857:G589859 JB589857:JC589859 SX589857:SY589859 ACT589857:ACU589859 AMP589857:AMQ589859 AWL589857:AWM589859 BGH589857:BGI589859 BQD589857:BQE589859 BZZ589857:CAA589859 CJV589857:CJW589859 CTR589857:CTS589859 DDN589857:DDO589859 DNJ589857:DNK589859 DXF589857:DXG589859 EHB589857:EHC589859 EQX589857:EQY589859 FAT589857:FAU589859 FKP589857:FKQ589859 FUL589857:FUM589859 GEH589857:GEI589859 GOD589857:GOE589859 GXZ589857:GYA589859 HHV589857:HHW589859 HRR589857:HRS589859 IBN589857:IBO589859 ILJ589857:ILK589859 IVF589857:IVG589859 JFB589857:JFC589859 JOX589857:JOY589859 JYT589857:JYU589859 KIP589857:KIQ589859 KSL589857:KSM589859 LCH589857:LCI589859 LMD589857:LME589859 LVZ589857:LWA589859 MFV589857:MFW589859 MPR589857:MPS589859 MZN589857:MZO589859 NJJ589857:NJK589859 NTF589857:NTG589859 ODB589857:ODC589859 OMX589857:OMY589859 OWT589857:OWU589859 PGP589857:PGQ589859 PQL589857:PQM589859 QAH589857:QAI589859 QKD589857:QKE589859 QTZ589857:QUA589859 RDV589857:RDW589859 RNR589857:RNS589859 RXN589857:RXO589859 SHJ589857:SHK589859 SRF589857:SRG589859 TBB589857:TBC589859 TKX589857:TKY589859 TUT589857:TUU589859 UEP589857:UEQ589859 UOL589857:UOM589859 UYH589857:UYI589859 VID589857:VIE589859 VRZ589857:VSA589859 WBV589857:WBW589859 WLR589857:WLS589859 WVN589857:WVO589859 F655393:G655395 JB655393:JC655395 SX655393:SY655395 ACT655393:ACU655395 AMP655393:AMQ655395 AWL655393:AWM655395 BGH655393:BGI655395 BQD655393:BQE655395 BZZ655393:CAA655395 CJV655393:CJW655395 CTR655393:CTS655395 DDN655393:DDO655395 DNJ655393:DNK655395 DXF655393:DXG655395 EHB655393:EHC655395 EQX655393:EQY655395 FAT655393:FAU655395 FKP655393:FKQ655395 FUL655393:FUM655395 GEH655393:GEI655395 GOD655393:GOE655395 GXZ655393:GYA655395 HHV655393:HHW655395 HRR655393:HRS655395 IBN655393:IBO655395 ILJ655393:ILK655395 IVF655393:IVG655395 JFB655393:JFC655395 JOX655393:JOY655395 JYT655393:JYU655395 KIP655393:KIQ655395 KSL655393:KSM655395 LCH655393:LCI655395 LMD655393:LME655395 LVZ655393:LWA655395 MFV655393:MFW655395 MPR655393:MPS655395 MZN655393:MZO655395 NJJ655393:NJK655395 NTF655393:NTG655395 ODB655393:ODC655395 OMX655393:OMY655395 OWT655393:OWU655395 PGP655393:PGQ655395 PQL655393:PQM655395 QAH655393:QAI655395 QKD655393:QKE655395 QTZ655393:QUA655395 RDV655393:RDW655395 RNR655393:RNS655395 RXN655393:RXO655395 SHJ655393:SHK655395 SRF655393:SRG655395 TBB655393:TBC655395 TKX655393:TKY655395 TUT655393:TUU655395 UEP655393:UEQ655395 UOL655393:UOM655395 UYH655393:UYI655395 VID655393:VIE655395 VRZ655393:VSA655395 WBV655393:WBW655395 WLR655393:WLS655395 WVN655393:WVO655395 F720929:G720931 JB720929:JC720931 SX720929:SY720931 ACT720929:ACU720931 AMP720929:AMQ720931 AWL720929:AWM720931 BGH720929:BGI720931 BQD720929:BQE720931 BZZ720929:CAA720931 CJV720929:CJW720931 CTR720929:CTS720931 DDN720929:DDO720931 DNJ720929:DNK720931 DXF720929:DXG720931 EHB720929:EHC720931 EQX720929:EQY720931 FAT720929:FAU720931 FKP720929:FKQ720931 FUL720929:FUM720931 GEH720929:GEI720931 GOD720929:GOE720931 GXZ720929:GYA720931 HHV720929:HHW720931 HRR720929:HRS720931 IBN720929:IBO720931 ILJ720929:ILK720931 IVF720929:IVG720931 JFB720929:JFC720931 JOX720929:JOY720931 JYT720929:JYU720931 KIP720929:KIQ720931 KSL720929:KSM720931 LCH720929:LCI720931 LMD720929:LME720931 LVZ720929:LWA720931 MFV720929:MFW720931 MPR720929:MPS720931 MZN720929:MZO720931 NJJ720929:NJK720931 NTF720929:NTG720931 ODB720929:ODC720931 OMX720929:OMY720931 OWT720929:OWU720931 PGP720929:PGQ720931 PQL720929:PQM720931 QAH720929:QAI720931 QKD720929:QKE720931 QTZ720929:QUA720931 RDV720929:RDW720931 RNR720929:RNS720931 RXN720929:RXO720931 SHJ720929:SHK720931 SRF720929:SRG720931 TBB720929:TBC720931 TKX720929:TKY720931 TUT720929:TUU720931 UEP720929:UEQ720931 UOL720929:UOM720931 UYH720929:UYI720931 VID720929:VIE720931 VRZ720929:VSA720931 WBV720929:WBW720931 WLR720929:WLS720931 WVN720929:WVO720931 F786465:G786467 JB786465:JC786467 SX786465:SY786467 ACT786465:ACU786467 AMP786465:AMQ786467 AWL786465:AWM786467 BGH786465:BGI786467 BQD786465:BQE786467 BZZ786465:CAA786467 CJV786465:CJW786467 CTR786465:CTS786467 DDN786465:DDO786467 DNJ786465:DNK786467 DXF786465:DXG786467 EHB786465:EHC786467 EQX786465:EQY786467 FAT786465:FAU786467 FKP786465:FKQ786467 FUL786465:FUM786467 GEH786465:GEI786467 GOD786465:GOE786467 GXZ786465:GYA786467 HHV786465:HHW786467 HRR786465:HRS786467 IBN786465:IBO786467 ILJ786465:ILK786467 IVF786465:IVG786467 JFB786465:JFC786467 JOX786465:JOY786467 JYT786465:JYU786467 KIP786465:KIQ786467 KSL786465:KSM786467 LCH786465:LCI786467 LMD786465:LME786467 LVZ786465:LWA786467 MFV786465:MFW786467 MPR786465:MPS786467 MZN786465:MZO786467 NJJ786465:NJK786467 NTF786465:NTG786467 ODB786465:ODC786467 OMX786465:OMY786467 OWT786465:OWU786467 PGP786465:PGQ786467 PQL786465:PQM786467 QAH786465:QAI786467 QKD786465:QKE786467 QTZ786465:QUA786467 RDV786465:RDW786467 RNR786465:RNS786467 RXN786465:RXO786467 SHJ786465:SHK786467 SRF786465:SRG786467 TBB786465:TBC786467 TKX786465:TKY786467 TUT786465:TUU786467 UEP786465:UEQ786467 UOL786465:UOM786467 UYH786465:UYI786467 VID786465:VIE786467 VRZ786465:VSA786467 WBV786465:WBW786467 WLR786465:WLS786467 WVN786465:WVO786467 F852001:G852003 JB852001:JC852003 SX852001:SY852003 ACT852001:ACU852003 AMP852001:AMQ852003 AWL852001:AWM852003 BGH852001:BGI852003 BQD852001:BQE852003 BZZ852001:CAA852003 CJV852001:CJW852003 CTR852001:CTS852003 DDN852001:DDO852003 DNJ852001:DNK852003 DXF852001:DXG852003 EHB852001:EHC852003 EQX852001:EQY852003 FAT852001:FAU852003 FKP852001:FKQ852003 FUL852001:FUM852003 GEH852001:GEI852003 GOD852001:GOE852003 GXZ852001:GYA852003 HHV852001:HHW852003 HRR852001:HRS852003 IBN852001:IBO852003 ILJ852001:ILK852003 IVF852001:IVG852003 JFB852001:JFC852003 JOX852001:JOY852003 JYT852001:JYU852003 KIP852001:KIQ852003 KSL852001:KSM852003 LCH852001:LCI852003 LMD852001:LME852003 LVZ852001:LWA852003 MFV852001:MFW852003 MPR852001:MPS852003 MZN852001:MZO852003 NJJ852001:NJK852003 NTF852001:NTG852003 ODB852001:ODC852003 OMX852001:OMY852003 OWT852001:OWU852003 PGP852001:PGQ852003 PQL852001:PQM852003 QAH852001:QAI852003 QKD852001:QKE852003 QTZ852001:QUA852003 RDV852001:RDW852003 RNR852001:RNS852003 RXN852001:RXO852003 SHJ852001:SHK852003 SRF852001:SRG852003 TBB852001:TBC852003 TKX852001:TKY852003 TUT852001:TUU852003 UEP852001:UEQ852003 UOL852001:UOM852003 UYH852001:UYI852003 VID852001:VIE852003 VRZ852001:VSA852003 WBV852001:WBW852003 WLR852001:WLS852003 WVN852001:WVO852003 F917537:G917539 JB917537:JC917539 SX917537:SY917539 ACT917537:ACU917539 AMP917537:AMQ917539 AWL917537:AWM917539 BGH917537:BGI917539 BQD917537:BQE917539 BZZ917537:CAA917539 CJV917537:CJW917539 CTR917537:CTS917539 DDN917537:DDO917539 DNJ917537:DNK917539 DXF917537:DXG917539 EHB917537:EHC917539 EQX917537:EQY917539 FAT917537:FAU917539 FKP917537:FKQ917539 FUL917537:FUM917539 GEH917537:GEI917539 GOD917537:GOE917539 GXZ917537:GYA917539 HHV917537:HHW917539 HRR917537:HRS917539 IBN917537:IBO917539 ILJ917537:ILK917539 IVF917537:IVG917539 JFB917537:JFC917539 JOX917537:JOY917539 JYT917537:JYU917539 KIP917537:KIQ917539 KSL917537:KSM917539 LCH917537:LCI917539 LMD917537:LME917539 LVZ917537:LWA917539 MFV917537:MFW917539 MPR917537:MPS917539 MZN917537:MZO917539 NJJ917537:NJK917539 NTF917537:NTG917539 ODB917537:ODC917539 OMX917537:OMY917539 OWT917537:OWU917539 PGP917537:PGQ917539 PQL917537:PQM917539 QAH917537:QAI917539 QKD917537:QKE917539 QTZ917537:QUA917539 RDV917537:RDW917539 RNR917537:RNS917539 RXN917537:RXO917539 SHJ917537:SHK917539 SRF917537:SRG917539 TBB917537:TBC917539 TKX917537:TKY917539 TUT917537:TUU917539 UEP917537:UEQ917539 UOL917537:UOM917539 UYH917537:UYI917539 VID917537:VIE917539 VRZ917537:VSA917539 WBV917537:WBW917539 WLR917537:WLS917539 WVN917537:WVO917539 F983073:G983075 JB983073:JC983075 SX983073:SY983075 ACT983073:ACU983075 AMP983073:AMQ983075 AWL983073:AWM983075 BGH983073:BGI983075 BQD983073:BQE983075 BZZ983073:CAA983075 CJV983073:CJW983075 CTR983073:CTS983075 DDN983073:DDO983075 DNJ983073:DNK983075 DXF983073:DXG983075 EHB983073:EHC983075 EQX983073:EQY983075 FAT983073:FAU983075 FKP983073:FKQ983075 FUL983073:FUM983075 GEH983073:GEI983075 GOD983073:GOE983075 GXZ983073:GYA983075 HHV983073:HHW983075 HRR983073:HRS983075 IBN983073:IBO983075 ILJ983073:ILK983075 IVF983073:IVG983075 JFB983073:JFC983075 JOX983073:JOY983075 JYT983073:JYU983075 KIP983073:KIQ983075 KSL983073:KSM983075 LCH983073:LCI983075 LMD983073:LME983075 LVZ983073:LWA983075 MFV983073:MFW983075 MPR983073:MPS983075 MZN983073:MZO983075 NJJ983073:NJK983075 NTF983073:NTG983075 ODB983073:ODC983075 OMX983073:OMY983075 OWT983073:OWU983075 PGP983073:PGQ983075 PQL983073:PQM983075 QAH983073:QAI983075 QKD983073:QKE983075 QTZ983073:QUA983075 RDV983073:RDW983075 RNR983073:RNS983075 RXN983073:RXO983075 SHJ983073:SHK983075 SRF983073:SRG983075 TBB983073:TBC983075 TKX983073:TKY983075 TUT983073:TUU983075 UEP983073:UEQ983075 UOL983073:UOM983075 UYH983073:UYI983075 VID983073:VIE983075 VRZ983073:VSA983075 WBV983073:WBW983075 WLR983073:WLS983075 WVN983073:WVO983075 K38:M38 JG38:JI38 TC38:TE38 ACY38:ADA38 AMU38:AMW38 AWQ38:AWS38 BGM38:BGO38 BQI38:BQK38 CAE38:CAG38 CKA38:CKC38 CTW38:CTY38 DDS38:DDU38 DNO38:DNQ38 DXK38:DXM38 EHG38:EHI38 ERC38:ERE38 FAY38:FBA38 FKU38:FKW38 FUQ38:FUS38 GEM38:GEO38 GOI38:GOK38 GYE38:GYG38 HIA38:HIC38 HRW38:HRY38 IBS38:IBU38 ILO38:ILQ38 IVK38:IVM38 JFG38:JFI38 JPC38:JPE38 JYY38:JZA38 KIU38:KIW38 KSQ38:KSS38 LCM38:LCO38 LMI38:LMK38 LWE38:LWG38 MGA38:MGC38 MPW38:MPY38 MZS38:MZU38 NJO38:NJQ38 NTK38:NTM38 ODG38:ODI38 ONC38:ONE38 OWY38:OXA38 PGU38:PGW38 PQQ38:PQS38 QAM38:QAO38 QKI38:QKK38 QUE38:QUG38 REA38:REC38 RNW38:RNY38 RXS38:RXU38 SHO38:SHQ38 SRK38:SRM38 TBG38:TBI38 TLC38:TLE38 TUY38:TVA38 UEU38:UEW38 UOQ38:UOS38 UYM38:UYO38 VII38:VIK38 VSE38:VSG38 WCA38:WCC38 WLW38:WLY38 WVS38:WVU38 K65574:M65574 JG65574:JI65574 TC65574:TE65574 ACY65574:ADA65574 AMU65574:AMW65574 AWQ65574:AWS65574 BGM65574:BGO65574 BQI65574:BQK65574 CAE65574:CAG65574 CKA65574:CKC65574 CTW65574:CTY65574 DDS65574:DDU65574 DNO65574:DNQ65574 DXK65574:DXM65574 EHG65574:EHI65574 ERC65574:ERE65574 FAY65574:FBA65574 FKU65574:FKW65574 FUQ65574:FUS65574 GEM65574:GEO65574 GOI65574:GOK65574 GYE65574:GYG65574 HIA65574:HIC65574 HRW65574:HRY65574 IBS65574:IBU65574 ILO65574:ILQ65574 IVK65574:IVM65574 JFG65574:JFI65574 JPC65574:JPE65574 JYY65574:JZA65574 KIU65574:KIW65574 KSQ65574:KSS65574 LCM65574:LCO65574 LMI65574:LMK65574 LWE65574:LWG65574 MGA65574:MGC65574 MPW65574:MPY65574 MZS65574:MZU65574 NJO65574:NJQ65574 NTK65574:NTM65574 ODG65574:ODI65574 ONC65574:ONE65574 OWY65574:OXA65574 PGU65574:PGW65574 PQQ65574:PQS65574 QAM65574:QAO65574 QKI65574:QKK65574 QUE65574:QUG65574 REA65574:REC65574 RNW65574:RNY65574 RXS65574:RXU65574 SHO65574:SHQ65574 SRK65574:SRM65574 TBG65574:TBI65574 TLC65574:TLE65574 TUY65574:TVA65574 UEU65574:UEW65574 UOQ65574:UOS65574 UYM65574:UYO65574 VII65574:VIK65574 VSE65574:VSG65574 WCA65574:WCC65574 WLW65574:WLY65574 WVS65574:WVU65574 K131110:M131110 JG131110:JI131110 TC131110:TE131110 ACY131110:ADA131110 AMU131110:AMW131110 AWQ131110:AWS131110 BGM131110:BGO131110 BQI131110:BQK131110 CAE131110:CAG131110 CKA131110:CKC131110 CTW131110:CTY131110 DDS131110:DDU131110 DNO131110:DNQ131110 DXK131110:DXM131110 EHG131110:EHI131110 ERC131110:ERE131110 FAY131110:FBA131110 FKU131110:FKW131110 FUQ131110:FUS131110 GEM131110:GEO131110 GOI131110:GOK131110 GYE131110:GYG131110 HIA131110:HIC131110 HRW131110:HRY131110 IBS131110:IBU131110 ILO131110:ILQ131110 IVK131110:IVM131110 JFG131110:JFI131110 JPC131110:JPE131110 JYY131110:JZA131110 KIU131110:KIW131110 KSQ131110:KSS131110 LCM131110:LCO131110 LMI131110:LMK131110 LWE131110:LWG131110 MGA131110:MGC131110 MPW131110:MPY131110 MZS131110:MZU131110 NJO131110:NJQ131110 NTK131110:NTM131110 ODG131110:ODI131110 ONC131110:ONE131110 OWY131110:OXA131110 PGU131110:PGW131110 PQQ131110:PQS131110 QAM131110:QAO131110 QKI131110:QKK131110 QUE131110:QUG131110 REA131110:REC131110 RNW131110:RNY131110 RXS131110:RXU131110 SHO131110:SHQ131110 SRK131110:SRM131110 TBG131110:TBI131110 TLC131110:TLE131110 TUY131110:TVA131110 UEU131110:UEW131110 UOQ131110:UOS131110 UYM131110:UYO131110 VII131110:VIK131110 VSE131110:VSG131110 WCA131110:WCC131110 WLW131110:WLY131110 WVS131110:WVU131110 K196646:M196646 JG196646:JI196646 TC196646:TE196646 ACY196646:ADA196646 AMU196646:AMW196646 AWQ196646:AWS196646 BGM196646:BGO196646 BQI196646:BQK196646 CAE196646:CAG196646 CKA196646:CKC196646 CTW196646:CTY196646 DDS196646:DDU196646 DNO196646:DNQ196646 DXK196646:DXM196646 EHG196646:EHI196646 ERC196646:ERE196646 FAY196646:FBA196646 FKU196646:FKW196646 FUQ196646:FUS196646 GEM196646:GEO196646 GOI196646:GOK196646 GYE196646:GYG196646 HIA196646:HIC196646 HRW196646:HRY196646 IBS196646:IBU196646 ILO196646:ILQ196646 IVK196646:IVM196646 JFG196646:JFI196646 JPC196646:JPE196646 JYY196646:JZA196646 KIU196646:KIW196646 KSQ196646:KSS196646 LCM196646:LCO196646 LMI196646:LMK196646 LWE196646:LWG196646 MGA196646:MGC196646 MPW196646:MPY196646 MZS196646:MZU196646 NJO196646:NJQ196646 NTK196646:NTM196646 ODG196646:ODI196646 ONC196646:ONE196646 OWY196646:OXA196646 PGU196646:PGW196646 PQQ196646:PQS196646 QAM196646:QAO196646 QKI196646:QKK196646 QUE196646:QUG196646 REA196646:REC196646 RNW196646:RNY196646 RXS196646:RXU196646 SHO196646:SHQ196646 SRK196646:SRM196646 TBG196646:TBI196646 TLC196646:TLE196646 TUY196646:TVA196646 UEU196646:UEW196646 UOQ196646:UOS196646 UYM196646:UYO196646 VII196646:VIK196646 VSE196646:VSG196646 WCA196646:WCC196646 WLW196646:WLY196646 WVS196646:WVU196646 K262182:M262182 JG262182:JI262182 TC262182:TE262182 ACY262182:ADA262182 AMU262182:AMW262182 AWQ262182:AWS262182 BGM262182:BGO262182 BQI262182:BQK262182 CAE262182:CAG262182 CKA262182:CKC262182 CTW262182:CTY262182 DDS262182:DDU262182 DNO262182:DNQ262182 DXK262182:DXM262182 EHG262182:EHI262182 ERC262182:ERE262182 FAY262182:FBA262182 FKU262182:FKW262182 FUQ262182:FUS262182 GEM262182:GEO262182 GOI262182:GOK262182 GYE262182:GYG262182 HIA262182:HIC262182 HRW262182:HRY262182 IBS262182:IBU262182 ILO262182:ILQ262182 IVK262182:IVM262182 JFG262182:JFI262182 JPC262182:JPE262182 JYY262182:JZA262182 KIU262182:KIW262182 KSQ262182:KSS262182 LCM262182:LCO262182 LMI262182:LMK262182 LWE262182:LWG262182 MGA262182:MGC262182 MPW262182:MPY262182 MZS262182:MZU262182 NJO262182:NJQ262182 NTK262182:NTM262182 ODG262182:ODI262182 ONC262182:ONE262182 OWY262182:OXA262182 PGU262182:PGW262182 PQQ262182:PQS262182 QAM262182:QAO262182 QKI262182:QKK262182 QUE262182:QUG262182 REA262182:REC262182 RNW262182:RNY262182 RXS262182:RXU262182 SHO262182:SHQ262182 SRK262182:SRM262182 TBG262182:TBI262182 TLC262182:TLE262182 TUY262182:TVA262182 UEU262182:UEW262182 UOQ262182:UOS262182 UYM262182:UYO262182 VII262182:VIK262182 VSE262182:VSG262182 WCA262182:WCC262182 WLW262182:WLY262182 WVS262182:WVU262182 K327718:M327718 JG327718:JI327718 TC327718:TE327718 ACY327718:ADA327718 AMU327718:AMW327718 AWQ327718:AWS327718 BGM327718:BGO327718 BQI327718:BQK327718 CAE327718:CAG327718 CKA327718:CKC327718 CTW327718:CTY327718 DDS327718:DDU327718 DNO327718:DNQ327718 DXK327718:DXM327718 EHG327718:EHI327718 ERC327718:ERE327718 FAY327718:FBA327718 FKU327718:FKW327718 FUQ327718:FUS327718 GEM327718:GEO327718 GOI327718:GOK327718 GYE327718:GYG327718 HIA327718:HIC327718 HRW327718:HRY327718 IBS327718:IBU327718 ILO327718:ILQ327718 IVK327718:IVM327718 JFG327718:JFI327718 JPC327718:JPE327718 JYY327718:JZA327718 KIU327718:KIW327718 KSQ327718:KSS327718 LCM327718:LCO327718 LMI327718:LMK327718 LWE327718:LWG327718 MGA327718:MGC327718 MPW327718:MPY327718 MZS327718:MZU327718 NJO327718:NJQ327718 NTK327718:NTM327718 ODG327718:ODI327718 ONC327718:ONE327718 OWY327718:OXA327718 PGU327718:PGW327718 PQQ327718:PQS327718 QAM327718:QAO327718 QKI327718:QKK327718 QUE327718:QUG327718 REA327718:REC327718 RNW327718:RNY327718 RXS327718:RXU327718 SHO327718:SHQ327718 SRK327718:SRM327718 TBG327718:TBI327718 TLC327718:TLE327718 TUY327718:TVA327718 UEU327718:UEW327718 UOQ327718:UOS327718 UYM327718:UYO327718 VII327718:VIK327718 VSE327718:VSG327718 WCA327718:WCC327718 WLW327718:WLY327718 WVS327718:WVU327718 K393254:M393254 JG393254:JI393254 TC393254:TE393254 ACY393254:ADA393254 AMU393254:AMW393254 AWQ393254:AWS393254 BGM393254:BGO393254 BQI393254:BQK393254 CAE393254:CAG393254 CKA393254:CKC393254 CTW393254:CTY393254 DDS393254:DDU393254 DNO393254:DNQ393254 DXK393254:DXM393254 EHG393254:EHI393254 ERC393254:ERE393254 FAY393254:FBA393254 FKU393254:FKW393254 FUQ393254:FUS393254 GEM393254:GEO393254 GOI393254:GOK393254 GYE393254:GYG393254 HIA393254:HIC393254 HRW393254:HRY393254 IBS393254:IBU393254 ILO393254:ILQ393254 IVK393254:IVM393254 JFG393254:JFI393254 JPC393254:JPE393254 JYY393254:JZA393254 KIU393254:KIW393254 KSQ393254:KSS393254 LCM393254:LCO393254 LMI393254:LMK393254 LWE393254:LWG393254 MGA393254:MGC393254 MPW393254:MPY393254 MZS393254:MZU393254 NJO393254:NJQ393254 NTK393254:NTM393254 ODG393254:ODI393254 ONC393254:ONE393254 OWY393254:OXA393254 PGU393254:PGW393254 PQQ393254:PQS393254 QAM393254:QAO393254 QKI393254:QKK393254 QUE393254:QUG393254 REA393254:REC393254 RNW393254:RNY393254 RXS393254:RXU393254 SHO393254:SHQ393254 SRK393254:SRM393254 TBG393254:TBI393254 TLC393254:TLE393254 TUY393254:TVA393254 UEU393254:UEW393254 UOQ393254:UOS393254 UYM393254:UYO393254 VII393254:VIK393254 VSE393254:VSG393254 WCA393254:WCC393254 WLW393254:WLY393254 WVS393254:WVU393254 K458790:M458790 JG458790:JI458790 TC458790:TE458790 ACY458790:ADA458790 AMU458790:AMW458790 AWQ458790:AWS458790 BGM458790:BGO458790 BQI458790:BQK458790 CAE458790:CAG458790 CKA458790:CKC458790 CTW458790:CTY458790 DDS458790:DDU458790 DNO458790:DNQ458790 DXK458790:DXM458790 EHG458790:EHI458790 ERC458790:ERE458790 FAY458790:FBA458790 FKU458790:FKW458790 FUQ458790:FUS458790 GEM458790:GEO458790 GOI458790:GOK458790 GYE458790:GYG458790 HIA458790:HIC458790 HRW458790:HRY458790 IBS458790:IBU458790 ILO458790:ILQ458790 IVK458790:IVM458790 JFG458790:JFI458790 JPC458790:JPE458790 JYY458790:JZA458790 KIU458790:KIW458790 KSQ458790:KSS458790 LCM458790:LCO458790 LMI458790:LMK458790 LWE458790:LWG458790 MGA458790:MGC458790 MPW458790:MPY458790 MZS458790:MZU458790 NJO458790:NJQ458790 NTK458790:NTM458790 ODG458790:ODI458790 ONC458790:ONE458790 OWY458790:OXA458790 PGU458790:PGW458790 PQQ458790:PQS458790 QAM458790:QAO458790 QKI458790:QKK458790 QUE458790:QUG458790 REA458790:REC458790 RNW458790:RNY458790 RXS458790:RXU458790 SHO458790:SHQ458790 SRK458790:SRM458790 TBG458790:TBI458790 TLC458790:TLE458790 TUY458790:TVA458790 UEU458790:UEW458790 UOQ458790:UOS458790 UYM458790:UYO458790 VII458790:VIK458790 VSE458790:VSG458790 WCA458790:WCC458790 WLW458790:WLY458790 WVS458790:WVU458790 K524326:M524326 JG524326:JI524326 TC524326:TE524326 ACY524326:ADA524326 AMU524326:AMW524326 AWQ524326:AWS524326 BGM524326:BGO524326 BQI524326:BQK524326 CAE524326:CAG524326 CKA524326:CKC524326 CTW524326:CTY524326 DDS524326:DDU524326 DNO524326:DNQ524326 DXK524326:DXM524326 EHG524326:EHI524326 ERC524326:ERE524326 FAY524326:FBA524326 FKU524326:FKW524326 FUQ524326:FUS524326 GEM524326:GEO524326 GOI524326:GOK524326 GYE524326:GYG524326 HIA524326:HIC524326 HRW524326:HRY524326 IBS524326:IBU524326 ILO524326:ILQ524326 IVK524326:IVM524326 JFG524326:JFI524326 JPC524326:JPE524326 JYY524326:JZA524326 KIU524326:KIW524326 KSQ524326:KSS524326 LCM524326:LCO524326 LMI524326:LMK524326 LWE524326:LWG524326 MGA524326:MGC524326 MPW524326:MPY524326 MZS524326:MZU524326 NJO524326:NJQ524326 NTK524326:NTM524326 ODG524326:ODI524326 ONC524326:ONE524326 OWY524326:OXA524326 PGU524326:PGW524326 PQQ524326:PQS524326 QAM524326:QAO524326 QKI524326:QKK524326 QUE524326:QUG524326 REA524326:REC524326 RNW524326:RNY524326 RXS524326:RXU524326 SHO524326:SHQ524326 SRK524326:SRM524326 TBG524326:TBI524326 TLC524326:TLE524326 TUY524326:TVA524326 UEU524326:UEW524326 UOQ524326:UOS524326 UYM524326:UYO524326 VII524326:VIK524326 VSE524326:VSG524326 WCA524326:WCC524326 WLW524326:WLY524326 WVS524326:WVU524326 K589862:M589862 JG589862:JI589862 TC589862:TE589862 ACY589862:ADA589862 AMU589862:AMW589862 AWQ589862:AWS589862 BGM589862:BGO589862 BQI589862:BQK589862 CAE589862:CAG589862 CKA589862:CKC589862 CTW589862:CTY589862 DDS589862:DDU589862 DNO589862:DNQ589862 DXK589862:DXM589862 EHG589862:EHI589862 ERC589862:ERE589862 FAY589862:FBA589862 FKU589862:FKW589862 FUQ589862:FUS589862 GEM589862:GEO589862 GOI589862:GOK589862 GYE589862:GYG589862 HIA589862:HIC589862 HRW589862:HRY589862 IBS589862:IBU589862 ILO589862:ILQ589862 IVK589862:IVM589862 JFG589862:JFI589862 JPC589862:JPE589862 JYY589862:JZA589862 KIU589862:KIW589862 KSQ589862:KSS589862 LCM589862:LCO589862 LMI589862:LMK589862 LWE589862:LWG589862 MGA589862:MGC589862 MPW589862:MPY589862 MZS589862:MZU589862 NJO589862:NJQ589862 NTK589862:NTM589862 ODG589862:ODI589862 ONC589862:ONE589862 OWY589862:OXA589862 PGU589862:PGW589862 PQQ589862:PQS589862 QAM589862:QAO589862 QKI589862:QKK589862 QUE589862:QUG589862 REA589862:REC589862 RNW589862:RNY589862 RXS589862:RXU589862 SHO589862:SHQ589862 SRK589862:SRM589862 TBG589862:TBI589862 TLC589862:TLE589862 TUY589862:TVA589862 UEU589862:UEW589862 UOQ589862:UOS589862 UYM589862:UYO589862 VII589862:VIK589862 VSE589862:VSG589862 WCA589862:WCC589862 WLW589862:WLY589862 WVS589862:WVU589862 K655398:M655398 JG655398:JI655398 TC655398:TE655398 ACY655398:ADA655398 AMU655398:AMW655398 AWQ655398:AWS655398 BGM655398:BGO655398 BQI655398:BQK655398 CAE655398:CAG655398 CKA655398:CKC655398 CTW655398:CTY655398 DDS655398:DDU655398 DNO655398:DNQ655398 DXK655398:DXM655398 EHG655398:EHI655398 ERC655398:ERE655398 FAY655398:FBA655398 FKU655398:FKW655398 FUQ655398:FUS655398 GEM655398:GEO655398 GOI655398:GOK655398 GYE655398:GYG655398 HIA655398:HIC655398 HRW655398:HRY655398 IBS655398:IBU655398 ILO655398:ILQ655398 IVK655398:IVM655398 JFG655398:JFI655398 JPC655398:JPE655398 JYY655398:JZA655398 KIU655398:KIW655398 KSQ655398:KSS655398 LCM655398:LCO655398 LMI655398:LMK655398 LWE655398:LWG655398 MGA655398:MGC655398 MPW655398:MPY655398 MZS655398:MZU655398 NJO655398:NJQ655398 NTK655398:NTM655398 ODG655398:ODI655398 ONC655398:ONE655398 OWY655398:OXA655398 PGU655398:PGW655398 PQQ655398:PQS655398 QAM655398:QAO655398 QKI655398:QKK655398 QUE655398:QUG655398 REA655398:REC655398 RNW655398:RNY655398 RXS655398:RXU655398 SHO655398:SHQ655398 SRK655398:SRM655398 TBG655398:TBI655398 TLC655398:TLE655398 TUY655398:TVA655398 UEU655398:UEW655398 UOQ655398:UOS655398 UYM655398:UYO655398 VII655398:VIK655398 VSE655398:VSG655398 WCA655398:WCC655398 WLW655398:WLY655398 WVS655398:WVU655398 K720934:M720934 JG720934:JI720934 TC720934:TE720934 ACY720934:ADA720934 AMU720934:AMW720934 AWQ720934:AWS720934 BGM720934:BGO720934 BQI720934:BQK720934 CAE720934:CAG720934 CKA720934:CKC720934 CTW720934:CTY720934 DDS720934:DDU720934 DNO720934:DNQ720934 DXK720934:DXM720934 EHG720934:EHI720934 ERC720934:ERE720934 FAY720934:FBA720934 FKU720934:FKW720934 FUQ720934:FUS720934 GEM720934:GEO720934 GOI720934:GOK720934 GYE720934:GYG720934 HIA720934:HIC720934 HRW720934:HRY720934 IBS720934:IBU720934 ILO720934:ILQ720934 IVK720934:IVM720934 JFG720934:JFI720934 JPC720934:JPE720934 JYY720934:JZA720934 KIU720934:KIW720934 KSQ720934:KSS720934 LCM720934:LCO720934 LMI720934:LMK720934 LWE720934:LWG720934 MGA720934:MGC720934 MPW720934:MPY720934 MZS720934:MZU720934 NJO720934:NJQ720934 NTK720934:NTM720934 ODG720934:ODI720934 ONC720934:ONE720934 OWY720934:OXA720934 PGU720934:PGW720934 PQQ720934:PQS720934 QAM720934:QAO720934 QKI720934:QKK720934 QUE720934:QUG720934 REA720934:REC720934 RNW720934:RNY720934 RXS720934:RXU720934 SHO720934:SHQ720934 SRK720934:SRM720934 TBG720934:TBI720934 TLC720934:TLE720934 TUY720934:TVA720934 UEU720934:UEW720934 UOQ720934:UOS720934 UYM720934:UYO720934 VII720934:VIK720934 VSE720934:VSG720934 WCA720934:WCC720934 WLW720934:WLY720934 WVS720934:WVU720934 K786470:M786470 JG786470:JI786470 TC786470:TE786470 ACY786470:ADA786470 AMU786470:AMW786470 AWQ786470:AWS786470 BGM786470:BGO786470 BQI786470:BQK786470 CAE786470:CAG786470 CKA786470:CKC786470 CTW786470:CTY786470 DDS786470:DDU786470 DNO786470:DNQ786470 DXK786470:DXM786470 EHG786470:EHI786470 ERC786470:ERE786470 FAY786470:FBA786470 FKU786470:FKW786470 FUQ786470:FUS786470 GEM786470:GEO786470 GOI786470:GOK786470 GYE786470:GYG786470 HIA786470:HIC786470 HRW786470:HRY786470 IBS786470:IBU786470 ILO786470:ILQ786470 IVK786470:IVM786470 JFG786470:JFI786470 JPC786470:JPE786470 JYY786470:JZA786470 KIU786470:KIW786470 KSQ786470:KSS786470 LCM786470:LCO786470 LMI786470:LMK786470 LWE786470:LWG786470 MGA786470:MGC786470 MPW786470:MPY786470 MZS786470:MZU786470 NJO786470:NJQ786470 NTK786470:NTM786470 ODG786470:ODI786470 ONC786470:ONE786470 OWY786470:OXA786470 PGU786470:PGW786470 PQQ786470:PQS786470 QAM786470:QAO786470 QKI786470:QKK786470 QUE786470:QUG786470 REA786470:REC786470 RNW786470:RNY786470 RXS786470:RXU786470 SHO786470:SHQ786470 SRK786470:SRM786470 TBG786470:TBI786470 TLC786470:TLE786470 TUY786470:TVA786470 UEU786470:UEW786470 UOQ786470:UOS786470 UYM786470:UYO786470 VII786470:VIK786470 VSE786470:VSG786470 WCA786470:WCC786470 WLW786470:WLY786470 WVS786470:WVU786470 K852006:M852006 JG852006:JI852006 TC852006:TE852006 ACY852006:ADA852006 AMU852006:AMW852006 AWQ852006:AWS852006 BGM852006:BGO852006 BQI852006:BQK852006 CAE852006:CAG852006 CKA852006:CKC852006 CTW852006:CTY852006 DDS852006:DDU852006 DNO852006:DNQ852006 DXK852006:DXM852006 EHG852006:EHI852006 ERC852006:ERE852006 FAY852006:FBA852006 FKU852006:FKW852006 FUQ852006:FUS852006 GEM852006:GEO852006 GOI852006:GOK852006 GYE852006:GYG852006 HIA852006:HIC852006 HRW852006:HRY852006 IBS852006:IBU852006 ILO852006:ILQ852006 IVK852006:IVM852006 JFG852006:JFI852006 JPC852006:JPE852006 JYY852006:JZA852006 KIU852006:KIW852006 KSQ852006:KSS852006 LCM852006:LCO852006 LMI852006:LMK852006 LWE852006:LWG852006 MGA852006:MGC852006 MPW852006:MPY852006 MZS852006:MZU852006 NJO852006:NJQ852006 NTK852006:NTM852006 ODG852006:ODI852006 ONC852006:ONE852006 OWY852006:OXA852006 PGU852006:PGW852006 PQQ852006:PQS852006 QAM852006:QAO852006 QKI852006:QKK852006 QUE852006:QUG852006 REA852006:REC852006 RNW852006:RNY852006 RXS852006:RXU852006 SHO852006:SHQ852006 SRK852006:SRM852006 TBG852006:TBI852006 TLC852006:TLE852006 TUY852006:TVA852006 UEU852006:UEW852006 UOQ852006:UOS852006 UYM852006:UYO852006 VII852006:VIK852006 VSE852006:VSG852006 WCA852006:WCC852006 WLW852006:WLY852006 WVS852006:WVU852006 K917542:M917542 JG917542:JI917542 TC917542:TE917542 ACY917542:ADA917542 AMU917542:AMW917542 AWQ917542:AWS917542 BGM917542:BGO917542 BQI917542:BQK917542 CAE917542:CAG917542 CKA917542:CKC917542 CTW917542:CTY917542 DDS917542:DDU917542 DNO917542:DNQ917542 DXK917542:DXM917542 EHG917542:EHI917542 ERC917542:ERE917542 FAY917542:FBA917542 FKU917542:FKW917542 FUQ917542:FUS917542 GEM917542:GEO917542 GOI917542:GOK917542 GYE917542:GYG917542 HIA917542:HIC917542 HRW917542:HRY917542 IBS917542:IBU917542 ILO917542:ILQ917542 IVK917542:IVM917542 JFG917542:JFI917542 JPC917542:JPE917542 JYY917542:JZA917542 KIU917542:KIW917542 KSQ917542:KSS917542 LCM917542:LCO917542 LMI917542:LMK917542 LWE917542:LWG917542 MGA917542:MGC917542 MPW917542:MPY917542 MZS917542:MZU917542 NJO917542:NJQ917542 NTK917542:NTM917542 ODG917542:ODI917542 ONC917542:ONE917542 OWY917542:OXA917542 PGU917542:PGW917542 PQQ917542:PQS917542 QAM917542:QAO917542 QKI917542:QKK917542 QUE917542:QUG917542 REA917542:REC917542 RNW917542:RNY917542 RXS917542:RXU917542 SHO917542:SHQ917542 SRK917542:SRM917542 TBG917542:TBI917542 TLC917542:TLE917542 TUY917542:TVA917542 UEU917542:UEW917542 UOQ917542:UOS917542 UYM917542:UYO917542 VII917542:VIK917542 VSE917542:VSG917542 WCA917542:WCC917542 WLW917542:WLY917542 WVS917542:WVU917542 K983078:M983078 JG983078:JI983078 TC983078:TE983078 ACY983078:ADA983078 AMU983078:AMW983078 AWQ983078:AWS983078 BGM983078:BGO983078 BQI983078:BQK983078 CAE983078:CAG983078 CKA983078:CKC983078 CTW983078:CTY983078 DDS983078:DDU983078 DNO983078:DNQ983078 DXK983078:DXM983078 EHG983078:EHI983078 ERC983078:ERE983078 FAY983078:FBA983078 FKU983078:FKW983078 FUQ983078:FUS983078 GEM983078:GEO983078 GOI983078:GOK983078 GYE983078:GYG983078 HIA983078:HIC983078 HRW983078:HRY983078 IBS983078:IBU983078 ILO983078:ILQ983078 IVK983078:IVM983078 JFG983078:JFI983078 JPC983078:JPE983078 JYY983078:JZA983078 KIU983078:KIW983078 KSQ983078:KSS983078 LCM983078:LCO983078 LMI983078:LMK983078 LWE983078:LWG983078 MGA983078:MGC983078 MPW983078:MPY983078 MZS983078:MZU983078 NJO983078:NJQ983078 NTK983078:NTM983078 ODG983078:ODI983078 ONC983078:ONE983078 OWY983078:OXA983078 PGU983078:PGW983078 PQQ983078:PQS983078 QAM983078:QAO983078 QKI983078:QKK983078 QUE983078:QUG983078 REA983078:REC983078 RNW983078:RNY983078 RXS983078:RXU983078 SHO983078:SHQ983078 SRK983078:SRM983078 TBG983078:TBI983078 TLC983078:TLE983078 TUY983078:TVA983078 UEU983078:UEW983078 UOQ983078:UOS983078 UYM983078:UYO983078 VII983078:VIK983078 VSE983078:VSG983078 WCA983078:WCC983078 WLW983078:WLY983078 WVS983078:WVU983078 L33:M35 JH33:JI35 TD33:TE35 ACZ33:ADA35 AMV33:AMW35 AWR33:AWS35 BGN33:BGO35 BQJ33:BQK35 CAF33:CAG35 CKB33:CKC35 CTX33:CTY35 DDT33:DDU35 DNP33:DNQ35 DXL33:DXM35 EHH33:EHI35 ERD33:ERE35 FAZ33:FBA35 FKV33:FKW35 FUR33:FUS35 GEN33:GEO35 GOJ33:GOK35 GYF33:GYG35 HIB33:HIC35 HRX33:HRY35 IBT33:IBU35 ILP33:ILQ35 IVL33:IVM35 JFH33:JFI35 JPD33:JPE35 JYZ33:JZA35 KIV33:KIW35 KSR33:KSS35 LCN33:LCO35 LMJ33:LMK35 LWF33:LWG35 MGB33:MGC35 MPX33:MPY35 MZT33:MZU35 NJP33:NJQ35 NTL33:NTM35 ODH33:ODI35 OND33:ONE35 OWZ33:OXA35 PGV33:PGW35 PQR33:PQS35 QAN33:QAO35 QKJ33:QKK35 QUF33:QUG35 REB33:REC35 RNX33:RNY35 RXT33:RXU35 SHP33:SHQ35 SRL33:SRM35 TBH33:TBI35 TLD33:TLE35 TUZ33:TVA35 UEV33:UEW35 UOR33:UOS35 UYN33:UYO35 VIJ33:VIK35 VSF33:VSG35 WCB33:WCC35 WLX33:WLY35 WVT33:WVU35 L65569:M65571 JH65569:JI65571 TD65569:TE65571 ACZ65569:ADA65571 AMV65569:AMW65571 AWR65569:AWS65571 BGN65569:BGO65571 BQJ65569:BQK65571 CAF65569:CAG65571 CKB65569:CKC65571 CTX65569:CTY65571 DDT65569:DDU65571 DNP65569:DNQ65571 DXL65569:DXM65571 EHH65569:EHI65571 ERD65569:ERE65571 FAZ65569:FBA65571 FKV65569:FKW65571 FUR65569:FUS65571 GEN65569:GEO65571 GOJ65569:GOK65571 GYF65569:GYG65571 HIB65569:HIC65571 HRX65569:HRY65571 IBT65569:IBU65571 ILP65569:ILQ65571 IVL65569:IVM65571 JFH65569:JFI65571 JPD65569:JPE65571 JYZ65569:JZA65571 KIV65569:KIW65571 KSR65569:KSS65571 LCN65569:LCO65571 LMJ65569:LMK65571 LWF65569:LWG65571 MGB65569:MGC65571 MPX65569:MPY65571 MZT65569:MZU65571 NJP65569:NJQ65571 NTL65569:NTM65571 ODH65569:ODI65571 OND65569:ONE65571 OWZ65569:OXA65571 PGV65569:PGW65571 PQR65569:PQS65571 QAN65569:QAO65571 QKJ65569:QKK65571 QUF65569:QUG65571 REB65569:REC65571 RNX65569:RNY65571 RXT65569:RXU65571 SHP65569:SHQ65571 SRL65569:SRM65571 TBH65569:TBI65571 TLD65569:TLE65571 TUZ65569:TVA65571 UEV65569:UEW65571 UOR65569:UOS65571 UYN65569:UYO65571 VIJ65569:VIK65571 VSF65569:VSG65571 WCB65569:WCC65571 WLX65569:WLY65571 WVT65569:WVU65571 L131105:M131107 JH131105:JI131107 TD131105:TE131107 ACZ131105:ADA131107 AMV131105:AMW131107 AWR131105:AWS131107 BGN131105:BGO131107 BQJ131105:BQK131107 CAF131105:CAG131107 CKB131105:CKC131107 CTX131105:CTY131107 DDT131105:DDU131107 DNP131105:DNQ131107 DXL131105:DXM131107 EHH131105:EHI131107 ERD131105:ERE131107 FAZ131105:FBA131107 FKV131105:FKW131107 FUR131105:FUS131107 GEN131105:GEO131107 GOJ131105:GOK131107 GYF131105:GYG131107 HIB131105:HIC131107 HRX131105:HRY131107 IBT131105:IBU131107 ILP131105:ILQ131107 IVL131105:IVM131107 JFH131105:JFI131107 JPD131105:JPE131107 JYZ131105:JZA131107 KIV131105:KIW131107 KSR131105:KSS131107 LCN131105:LCO131107 LMJ131105:LMK131107 LWF131105:LWG131107 MGB131105:MGC131107 MPX131105:MPY131107 MZT131105:MZU131107 NJP131105:NJQ131107 NTL131105:NTM131107 ODH131105:ODI131107 OND131105:ONE131107 OWZ131105:OXA131107 PGV131105:PGW131107 PQR131105:PQS131107 QAN131105:QAO131107 QKJ131105:QKK131107 QUF131105:QUG131107 REB131105:REC131107 RNX131105:RNY131107 RXT131105:RXU131107 SHP131105:SHQ131107 SRL131105:SRM131107 TBH131105:TBI131107 TLD131105:TLE131107 TUZ131105:TVA131107 UEV131105:UEW131107 UOR131105:UOS131107 UYN131105:UYO131107 VIJ131105:VIK131107 VSF131105:VSG131107 WCB131105:WCC131107 WLX131105:WLY131107 WVT131105:WVU131107 L196641:M196643 JH196641:JI196643 TD196641:TE196643 ACZ196641:ADA196643 AMV196641:AMW196643 AWR196641:AWS196643 BGN196641:BGO196643 BQJ196641:BQK196643 CAF196641:CAG196643 CKB196641:CKC196643 CTX196641:CTY196643 DDT196641:DDU196643 DNP196641:DNQ196643 DXL196641:DXM196643 EHH196641:EHI196643 ERD196641:ERE196643 FAZ196641:FBA196643 FKV196641:FKW196643 FUR196641:FUS196643 GEN196641:GEO196643 GOJ196641:GOK196643 GYF196641:GYG196643 HIB196641:HIC196643 HRX196641:HRY196643 IBT196641:IBU196643 ILP196641:ILQ196643 IVL196641:IVM196643 JFH196641:JFI196643 JPD196641:JPE196643 JYZ196641:JZA196643 KIV196641:KIW196643 KSR196641:KSS196643 LCN196641:LCO196643 LMJ196641:LMK196643 LWF196641:LWG196643 MGB196641:MGC196643 MPX196641:MPY196643 MZT196641:MZU196643 NJP196641:NJQ196643 NTL196641:NTM196643 ODH196641:ODI196643 OND196641:ONE196643 OWZ196641:OXA196643 PGV196641:PGW196643 PQR196641:PQS196643 QAN196641:QAO196643 QKJ196641:QKK196643 QUF196641:QUG196643 REB196641:REC196643 RNX196641:RNY196643 RXT196641:RXU196643 SHP196641:SHQ196643 SRL196641:SRM196643 TBH196641:TBI196643 TLD196641:TLE196643 TUZ196641:TVA196643 UEV196641:UEW196643 UOR196641:UOS196643 UYN196641:UYO196643 VIJ196641:VIK196643 VSF196641:VSG196643 WCB196641:WCC196643 WLX196641:WLY196643 WVT196641:WVU196643 L262177:M262179 JH262177:JI262179 TD262177:TE262179 ACZ262177:ADA262179 AMV262177:AMW262179 AWR262177:AWS262179 BGN262177:BGO262179 BQJ262177:BQK262179 CAF262177:CAG262179 CKB262177:CKC262179 CTX262177:CTY262179 DDT262177:DDU262179 DNP262177:DNQ262179 DXL262177:DXM262179 EHH262177:EHI262179 ERD262177:ERE262179 FAZ262177:FBA262179 FKV262177:FKW262179 FUR262177:FUS262179 GEN262177:GEO262179 GOJ262177:GOK262179 GYF262177:GYG262179 HIB262177:HIC262179 HRX262177:HRY262179 IBT262177:IBU262179 ILP262177:ILQ262179 IVL262177:IVM262179 JFH262177:JFI262179 JPD262177:JPE262179 JYZ262177:JZA262179 KIV262177:KIW262179 KSR262177:KSS262179 LCN262177:LCO262179 LMJ262177:LMK262179 LWF262177:LWG262179 MGB262177:MGC262179 MPX262177:MPY262179 MZT262177:MZU262179 NJP262177:NJQ262179 NTL262177:NTM262179 ODH262177:ODI262179 OND262177:ONE262179 OWZ262177:OXA262179 PGV262177:PGW262179 PQR262177:PQS262179 QAN262177:QAO262179 QKJ262177:QKK262179 QUF262177:QUG262179 REB262177:REC262179 RNX262177:RNY262179 RXT262177:RXU262179 SHP262177:SHQ262179 SRL262177:SRM262179 TBH262177:TBI262179 TLD262177:TLE262179 TUZ262177:TVA262179 UEV262177:UEW262179 UOR262177:UOS262179 UYN262177:UYO262179 VIJ262177:VIK262179 VSF262177:VSG262179 WCB262177:WCC262179 WLX262177:WLY262179 WVT262177:WVU262179 L327713:M327715 JH327713:JI327715 TD327713:TE327715 ACZ327713:ADA327715 AMV327713:AMW327715 AWR327713:AWS327715 BGN327713:BGO327715 BQJ327713:BQK327715 CAF327713:CAG327715 CKB327713:CKC327715 CTX327713:CTY327715 DDT327713:DDU327715 DNP327713:DNQ327715 DXL327713:DXM327715 EHH327713:EHI327715 ERD327713:ERE327715 FAZ327713:FBA327715 FKV327713:FKW327715 FUR327713:FUS327715 GEN327713:GEO327715 GOJ327713:GOK327715 GYF327713:GYG327715 HIB327713:HIC327715 HRX327713:HRY327715 IBT327713:IBU327715 ILP327713:ILQ327715 IVL327713:IVM327715 JFH327713:JFI327715 JPD327713:JPE327715 JYZ327713:JZA327715 KIV327713:KIW327715 KSR327713:KSS327715 LCN327713:LCO327715 LMJ327713:LMK327715 LWF327713:LWG327715 MGB327713:MGC327715 MPX327713:MPY327715 MZT327713:MZU327715 NJP327713:NJQ327715 NTL327713:NTM327715 ODH327713:ODI327715 OND327713:ONE327715 OWZ327713:OXA327715 PGV327713:PGW327715 PQR327713:PQS327715 QAN327713:QAO327715 QKJ327713:QKK327715 QUF327713:QUG327715 REB327713:REC327715 RNX327713:RNY327715 RXT327713:RXU327715 SHP327713:SHQ327715 SRL327713:SRM327715 TBH327713:TBI327715 TLD327713:TLE327715 TUZ327713:TVA327715 UEV327713:UEW327715 UOR327713:UOS327715 UYN327713:UYO327715 VIJ327713:VIK327715 VSF327713:VSG327715 WCB327713:WCC327715 WLX327713:WLY327715 WVT327713:WVU327715 L393249:M393251 JH393249:JI393251 TD393249:TE393251 ACZ393249:ADA393251 AMV393249:AMW393251 AWR393249:AWS393251 BGN393249:BGO393251 BQJ393249:BQK393251 CAF393249:CAG393251 CKB393249:CKC393251 CTX393249:CTY393251 DDT393249:DDU393251 DNP393249:DNQ393251 DXL393249:DXM393251 EHH393249:EHI393251 ERD393249:ERE393251 FAZ393249:FBA393251 FKV393249:FKW393251 FUR393249:FUS393251 GEN393249:GEO393251 GOJ393249:GOK393251 GYF393249:GYG393251 HIB393249:HIC393251 HRX393249:HRY393251 IBT393249:IBU393251 ILP393249:ILQ393251 IVL393249:IVM393251 JFH393249:JFI393251 JPD393249:JPE393251 JYZ393249:JZA393251 KIV393249:KIW393251 KSR393249:KSS393251 LCN393249:LCO393251 LMJ393249:LMK393251 LWF393249:LWG393251 MGB393249:MGC393251 MPX393249:MPY393251 MZT393249:MZU393251 NJP393249:NJQ393251 NTL393249:NTM393251 ODH393249:ODI393251 OND393249:ONE393251 OWZ393249:OXA393251 PGV393249:PGW393251 PQR393249:PQS393251 QAN393249:QAO393251 QKJ393249:QKK393251 QUF393249:QUG393251 REB393249:REC393251 RNX393249:RNY393251 RXT393249:RXU393251 SHP393249:SHQ393251 SRL393249:SRM393251 TBH393249:TBI393251 TLD393249:TLE393251 TUZ393249:TVA393251 UEV393249:UEW393251 UOR393249:UOS393251 UYN393249:UYO393251 VIJ393249:VIK393251 VSF393249:VSG393251 WCB393249:WCC393251 WLX393249:WLY393251 WVT393249:WVU393251 L458785:M458787 JH458785:JI458787 TD458785:TE458787 ACZ458785:ADA458787 AMV458785:AMW458787 AWR458785:AWS458787 BGN458785:BGO458787 BQJ458785:BQK458787 CAF458785:CAG458787 CKB458785:CKC458787 CTX458785:CTY458787 DDT458785:DDU458787 DNP458785:DNQ458787 DXL458785:DXM458787 EHH458785:EHI458787 ERD458785:ERE458787 FAZ458785:FBA458787 FKV458785:FKW458787 FUR458785:FUS458787 GEN458785:GEO458787 GOJ458785:GOK458787 GYF458785:GYG458787 HIB458785:HIC458787 HRX458785:HRY458787 IBT458785:IBU458787 ILP458785:ILQ458787 IVL458785:IVM458787 JFH458785:JFI458787 JPD458785:JPE458787 JYZ458785:JZA458787 KIV458785:KIW458787 KSR458785:KSS458787 LCN458785:LCO458787 LMJ458785:LMK458787 LWF458785:LWG458787 MGB458785:MGC458787 MPX458785:MPY458787 MZT458785:MZU458787 NJP458785:NJQ458787 NTL458785:NTM458787 ODH458785:ODI458787 OND458785:ONE458787 OWZ458785:OXA458787 PGV458785:PGW458787 PQR458785:PQS458787 QAN458785:QAO458787 QKJ458785:QKK458787 QUF458785:QUG458787 REB458785:REC458787 RNX458785:RNY458787 RXT458785:RXU458787 SHP458785:SHQ458787 SRL458785:SRM458787 TBH458785:TBI458787 TLD458785:TLE458787 TUZ458785:TVA458787 UEV458785:UEW458787 UOR458785:UOS458787 UYN458785:UYO458787 VIJ458785:VIK458787 VSF458785:VSG458787 WCB458785:WCC458787 WLX458785:WLY458787 WVT458785:WVU458787 L524321:M524323 JH524321:JI524323 TD524321:TE524323 ACZ524321:ADA524323 AMV524321:AMW524323 AWR524321:AWS524323 BGN524321:BGO524323 BQJ524321:BQK524323 CAF524321:CAG524323 CKB524321:CKC524323 CTX524321:CTY524323 DDT524321:DDU524323 DNP524321:DNQ524323 DXL524321:DXM524323 EHH524321:EHI524323 ERD524321:ERE524323 FAZ524321:FBA524323 FKV524321:FKW524323 FUR524321:FUS524323 GEN524321:GEO524323 GOJ524321:GOK524323 GYF524321:GYG524323 HIB524321:HIC524323 HRX524321:HRY524323 IBT524321:IBU524323 ILP524321:ILQ524323 IVL524321:IVM524323 JFH524321:JFI524323 JPD524321:JPE524323 JYZ524321:JZA524323 KIV524321:KIW524323 KSR524321:KSS524323 LCN524321:LCO524323 LMJ524321:LMK524323 LWF524321:LWG524323 MGB524321:MGC524323 MPX524321:MPY524323 MZT524321:MZU524323 NJP524321:NJQ524323 NTL524321:NTM524323 ODH524321:ODI524323 OND524321:ONE524323 OWZ524321:OXA524323 PGV524321:PGW524323 PQR524321:PQS524323 QAN524321:QAO524323 QKJ524321:QKK524323 QUF524321:QUG524323 REB524321:REC524323 RNX524321:RNY524323 RXT524321:RXU524323 SHP524321:SHQ524323 SRL524321:SRM524323 TBH524321:TBI524323 TLD524321:TLE524323 TUZ524321:TVA524323 UEV524321:UEW524323 UOR524321:UOS524323 UYN524321:UYO524323 VIJ524321:VIK524323 VSF524321:VSG524323 WCB524321:WCC524323 WLX524321:WLY524323 WVT524321:WVU524323 L589857:M589859 JH589857:JI589859 TD589857:TE589859 ACZ589857:ADA589859 AMV589857:AMW589859 AWR589857:AWS589859 BGN589857:BGO589859 BQJ589857:BQK589859 CAF589857:CAG589859 CKB589857:CKC589859 CTX589857:CTY589859 DDT589857:DDU589859 DNP589857:DNQ589859 DXL589857:DXM589859 EHH589857:EHI589859 ERD589857:ERE589859 FAZ589857:FBA589859 FKV589857:FKW589859 FUR589857:FUS589859 GEN589857:GEO589859 GOJ589857:GOK589859 GYF589857:GYG589859 HIB589857:HIC589859 HRX589857:HRY589859 IBT589857:IBU589859 ILP589857:ILQ589859 IVL589857:IVM589859 JFH589857:JFI589859 JPD589857:JPE589859 JYZ589857:JZA589859 KIV589857:KIW589859 KSR589857:KSS589859 LCN589857:LCO589859 LMJ589857:LMK589859 LWF589857:LWG589859 MGB589857:MGC589859 MPX589857:MPY589859 MZT589857:MZU589859 NJP589857:NJQ589859 NTL589857:NTM589859 ODH589857:ODI589859 OND589857:ONE589859 OWZ589857:OXA589859 PGV589857:PGW589859 PQR589857:PQS589859 QAN589857:QAO589859 QKJ589857:QKK589859 QUF589857:QUG589859 REB589857:REC589859 RNX589857:RNY589859 RXT589857:RXU589859 SHP589857:SHQ589859 SRL589857:SRM589859 TBH589857:TBI589859 TLD589857:TLE589859 TUZ589857:TVA589859 UEV589857:UEW589859 UOR589857:UOS589859 UYN589857:UYO589859 VIJ589857:VIK589859 VSF589857:VSG589859 WCB589857:WCC589859 WLX589857:WLY589859 WVT589857:WVU589859 L655393:M655395 JH655393:JI655395 TD655393:TE655395 ACZ655393:ADA655395 AMV655393:AMW655395 AWR655393:AWS655395 BGN655393:BGO655395 BQJ655393:BQK655395 CAF655393:CAG655395 CKB655393:CKC655395 CTX655393:CTY655395 DDT655393:DDU655395 DNP655393:DNQ655395 DXL655393:DXM655395 EHH655393:EHI655395 ERD655393:ERE655395 FAZ655393:FBA655395 FKV655393:FKW655395 FUR655393:FUS655395 GEN655393:GEO655395 GOJ655393:GOK655395 GYF655393:GYG655395 HIB655393:HIC655395 HRX655393:HRY655395 IBT655393:IBU655395 ILP655393:ILQ655395 IVL655393:IVM655395 JFH655393:JFI655395 JPD655393:JPE655395 JYZ655393:JZA655395 KIV655393:KIW655395 KSR655393:KSS655395 LCN655393:LCO655395 LMJ655393:LMK655395 LWF655393:LWG655395 MGB655393:MGC655395 MPX655393:MPY655395 MZT655393:MZU655395 NJP655393:NJQ655395 NTL655393:NTM655395 ODH655393:ODI655395 OND655393:ONE655395 OWZ655393:OXA655395 PGV655393:PGW655395 PQR655393:PQS655395 QAN655393:QAO655395 QKJ655393:QKK655395 QUF655393:QUG655395 REB655393:REC655395 RNX655393:RNY655395 RXT655393:RXU655395 SHP655393:SHQ655395 SRL655393:SRM655395 TBH655393:TBI655395 TLD655393:TLE655395 TUZ655393:TVA655395 UEV655393:UEW655395 UOR655393:UOS655395 UYN655393:UYO655395 VIJ655393:VIK655395 VSF655393:VSG655395 WCB655393:WCC655395 WLX655393:WLY655395 WVT655393:WVU655395 L720929:M720931 JH720929:JI720931 TD720929:TE720931 ACZ720929:ADA720931 AMV720929:AMW720931 AWR720929:AWS720931 BGN720929:BGO720931 BQJ720929:BQK720931 CAF720929:CAG720931 CKB720929:CKC720931 CTX720929:CTY720931 DDT720929:DDU720931 DNP720929:DNQ720931 DXL720929:DXM720931 EHH720929:EHI720931 ERD720929:ERE720931 FAZ720929:FBA720931 FKV720929:FKW720931 FUR720929:FUS720931 GEN720929:GEO720931 GOJ720929:GOK720931 GYF720929:GYG720931 HIB720929:HIC720931 HRX720929:HRY720931 IBT720929:IBU720931 ILP720929:ILQ720931 IVL720929:IVM720931 JFH720929:JFI720931 JPD720929:JPE720931 JYZ720929:JZA720931 KIV720929:KIW720931 KSR720929:KSS720931 LCN720929:LCO720931 LMJ720929:LMK720931 LWF720929:LWG720931 MGB720929:MGC720931 MPX720929:MPY720931 MZT720929:MZU720931 NJP720929:NJQ720931 NTL720929:NTM720931 ODH720929:ODI720931 OND720929:ONE720931 OWZ720929:OXA720931 PGV720929:PGW720931 PQR720929:PQS720931 QAN720929:QAO720931 QKJ720929:QKK720931 QUF720929:QUG720931 REB720929:REC720931 RNX720929:RNY720931 RXT720929:RXU720931 SHP720929:SHQ720931 SRL720929:SRM720931 TBH720929:TBI720931 TLD720929:TLE720931 TUZ720929:TVA720931 UEV720929:UEW720931 UOR720929:UOS720931 UYN720929:UYO720931 VIJ720929:VIK720931 VSF720929:VSG720931 WCB720929:WCC720931 WLX720929:WLY720931 WVT720929:WVU720931 L786465:M786467 JH786465:JI786467 TD786465:TE786467 ACZ786465:ADA786467 AMV786465:AMW786467 AWR786465:AWS786467 BGN786465:BGO786467 BQJ786465:BQK786467 CAF786465:CAG786467 CKB786465:CKC786467 CTX786465:CTY786467 DDT786465:DDU786467 DNP786465:DNQ786467 DXL786465:DXM786467 EHH786465:EHI786467 ERD786465:ERE786467 FAZ786465:FBA786467 FKV786465:FKW786467 FUR786465:FUS786467 GEN786465:GEO786467 GOJ786465:GOK786467 GYF786465:GYG786467 HIB786465:HIC786467 HRX786465:HRY786467 IBT786465:IBU786467 ILP786465:ILQ786467 IVL786465:IVM786467 JFH786465:JFI786467 JPD786465:JPE786467 JYZ786465:JZA786467 KIV786465:KIW786467 KSR786465:KSS786467 LCN786465:LCO786467 LMJ786465:LMK786467 LWF786465:LWG786467 MGB786465:MGC786467 MPX786465:MPY786467 MZT786465:MZU786467 NJP786465:NJQ786467 NTL786465:NTM786467 ODH786465:ODI786467 OND786465:ONE786467 OWZ786465:OXA786467 PGV786465:PGW786467 PQR786465:PQS786467 QAN786465:QAO786467 QKJ786465:QKK786467 QUF786465:QUG786467 REB786465:REC786467 RNX786465:RNY786467 RXT786465:RXU786467 SHP786465:SHQ786467 SRL786465:SRM786467 TBH786465:TBI786467 TLD786465:TLE786467 TUZ786465:TVA786467 UEV786465:UEW786467 UOR786465:UOS786467 UYN786465:UYO786467 VIJ786465:VIK786467 VSF786465:VSG786467 WCB786465:WCC786467 WLX786465:WLY786467 WVT786465:WVU786467 L852001:M852003 JH852001:JI852003 TD852001:TE852003 ACZ852001:ADA852003 AMV852001:AMW852003 AWR852001:AWS852003 BGN852001:BGO852003 BQJ852001:BQK852003 CAF852001:CAG852003 CKB852001:CKC852003 CTX852001:CTY852003 DDT852001:DDU852003 DNP852001:DNQ852003 DXL852001:DXM852003 EHH852001:EHI852003 ERD852001:ERE852003 FAZ852001:FBA852003 FKV852001:FKW852003 FUR852001:FUS852003 GEN852001:GEO852003 GOJ852001:GOK852003 GYF852001:GYG852003 HIB852001:HIC852003 HRX852001:HRY852003 IBT852001:IBU852003 ILP852001:ILQ852003 IVL852001:IVM852003 JFH852001:JFI852003 JPD852001:JPE852003 JYZ852001:JZA852003 KIV852001:KIW852003 KSR852001:KSS852003 LCN852001:LCO852003 LMJ852001:LMK852003 LWF852001:LWG852003 MGB852001:MGC852003 MPX852001:MPY852003 MZT852001:MZU852003 NJP852001:NJQ852003 NTL852001:NTM852003 ODH852001:ODI852003 OND852001:ONE852003 OWZ852001:OXA852003 PGV852001:PGW852003 PQR852001:PQS852003 QAN852001:QAO852003 QKJ852001:QKK852003 QUF852001:QUG852003 REB852001:REC852003 RNX852001:RNY852003 RXT852001:RXU852003 SHP852001:SHQ852003 SRL852001:SRM852003 TBH852001:TBI852003 TLD852001:TLE852003 TUZ852001:TVA852003 UEV852001:UEW852003 UOR852001:UOS852003 UYN852001:UYO852003 VIJ852001:VIK852003 VSF852001:VSG852003 WCB852001:WCC852003 WLX852001:WLY852003 WVT852001:WVU852003 L917537:M917539 JH917537:JI917539 TD917537:TE917539 ACZ917537:ADA917539 AMV917537:AMW917539 AWR917537:AWS917539 BGN917537:BGO917539 BQJ917537:BQK917539 CAF917537:CAG917539 CKB917537:CKC917539 CTX917537:CTY917539 DDT917537:DDU917539 DNP917537:DNQ917539 DXL917537:DXM917539 EHH917537:EHI917539 ERD917537:ERE917539 FAZ917537:FBA917539 FKV917537:FKW917539 FUR917537:FUS917539 GEN917537:GEO917539 GOJ917537:GOK917539 GYF917537:GYG917539 HIB917537:HIC917539 HRX917537:HRY917539 IBT917537:IBU917539 ILP917537:ILQ917539 IVL917537:IVM917539 JFH917537:JFI917539 JPD917537:JPE917539 JYZ917537:JZA917539 KIV917537:KIW917539 KSR917537:KSS917539 LCN917537:LCO917539 LMJ917537:LMK917539 LWF917537:LWG917539 MGB917537:MGC917539 MPX917537:MPY917539 MZT917537:MZU917539 NJP917537:NJQ917539 NTL917537:NTM917539 ODH917537:ODI917539 OND917537:ONE917539 OWZ917537:OXA917539 PGV917537:PGW917539 PQR917537:PQS917539 QAN917537:QAO917539 QKJ917537:QKK917539 QUF917537:QUG917539 REB917537:REC917539 RNX917537:RNY917539 RXT917537:RXU917539 SHP917537:SHQ917539 SRL917537:SRM917539 TBH917537:TBI917539 TLD917537:TLE917539 TUZ917537:TVA917539 UEV917537:UEW917539 UOR917537:UOS917539 UYN917537:UYO917539 VIJ917537:VIK917539 VSF917537:VSG917539 WCB917537:WCC917539 WLX917537:WLY917539 WVT917537:WVU917539 L983073:M983075 JH983073:JI983075 TD983073:TE983075 ACZ983073:ADA983075 AMV983073:AMW983075 AWR983073:AWS983075 BGN983073:BGO983075 BQJ983073:BQK983075 CAF983073:CAG983075 CKB983073:CKC983075 CTX983073:CTY983075 DDT983073:DDU983075 DNP983073:DNQ983075 DXL983073:DXM983075 EHH983073:EHI983075 ERD983073:ERE983075 FAZ983073:FBA983075 FKV983073:FKW983075 FUR983073:FUS983075 GEN983073:GEO983075 GOJ983073:GOK983075 GYF983073:GYG983075 HIB983073:HIC983075 HRX983073:HRY983075 IBT983073:IBU983075 ILP983073:ILQ983075 IVL983073:IVM983075 JFH983073:JFI983075 JPD983073:JPE983075 JYZ983073:JZA983075 KIV983073:KIW983075 KSR983073:KSS983075 LCN983073:LCO983075 LMJ983073:LMK983075 LWF983073:LWG983075 MGB983073:MGC983075 MPX983073:MPY983075 MZT983073:MZU983075 NJP983073:NJQ983075 NTL983073:NTM983075 ODH983073:ODI983075 OND983073:ONE983075 OWZ983073:OXA983075 PGV983073:PGW983075 PQR983073:PQS983075 QAN983073:QAO983075 QKJ983073:QKK983075 QUF983073:QUG983075 REB983073:REC983075 RNX983073:RNY983075 RXT983073:RXU983075 SHP983073:SHQ983075 SRL983073:SRM983075 TBH983073:TBI983075 TLD983073:TLE983075 TUZ983073:TVA983075 UEV983073:UEW983075 UOR983073:UOS983075 UYN983073:UYO983075 VIJ983073:VIK983075 VSF983073:VSG983075 WCB983073:WCC983075 WLX983073:WLY983075 WVT983073:WVU983075 E38:F38 JA38:JB38 SW38:SX38 ACS38:ACT38 AMO38:AMP38 AWK38:AWL38 BGG38:BGH38 BQC38:BQD38 BZY38:BZZ38 CJU38:CJV38 CTQ38:CTR38 DDM38:DDN38 DNI38:DNJ38 DXE38:DXF38 EHA38:EHB38 EQW38:EQX38 FAS38:FAT38 FKO38:FKP38 FUK38:FUL38 GEG38:GEH38 GOC38:GOD38 GXY38:GXZ38 HHU38:HHV38 HRQ38:HRR38 IBM38:IBN38 ILI38:ILJ38 IVE38:IVF38 JFA38:JFB38 JOW38:JOX38 JYS38:JYT38 KIO38:KIP38 KSK38:KSL38 LCG38:LCH38 LMC38:LMD38 LVY38:LVZ38 MFU38:MFV38 MPQ38:MPR38 MZM38:MZN38 NJI38:NJJ38 NTE38:NTF38 ODA38:ODB38 OMW38:OMX38 OWS38:OWT38 PGO38:PGP38 PQK38:PQL38 QAG38:QAH38 QKC38:QKD38 QTY38:QTZ38 RDU38:RDV38 RNQ38:RNR38 RXM38:RXN38 SHI38:SHJ38 SRE38:SRF38 TBA38:TBB38 TKW38:TKX38 TUS38:TUT38 UEO38:UEP38 UOK38:UOL38 UYG38:UYH38 VIC38:VID38 VRY38:VRZ38 WBU38:WBV38 WLQ38:WLR38 WVM38:WVN38 E65574:F65574 JA65574:JB65574 SW65574:SX65574 ACS65574:ACT65574 AMO65574:AMP65574 AWK65574:AWL65574 BGG65574:BGH65574 BQC65574:BQD65574 BZY65574:BZZ65574 CJU65574:CJV65574 CTQ65574:CTR65574 DDM65574:DDN65574 DNI65574:DNJ65574 DXE65574:DXF65574 EHA65574:EHB65574 EQW65574:EQX65574 FAS65574:FAT65574 FKO65574:FKP65574 FUK65574:FUL65574 GEG65574:GEH65574 GOC65574:GOD65574 GXY65574:GXZ65574 HHU65574:HHV65574 HRQ65574:HRR65574 IBM65574:IBN65574 ILI65574:ILJ65574 IVE65574:IVF65574 JFA65574:JFB65574 JOW65574:JOX65574 JYS65574:JYT65574 KIO65574:KIP65574 KSK65574:KSL65574 LCG65574:LCH65574 LMC65574:LMD65574 LVY65574:LVZ65574 MFU65574:MFV65574 MPQ65574:MPR65574 MZM65574:MZN65574 NJI65574:NJJ65574 NTE65574:NTF65574 ODA65574:ODB65574 OMW65574:OMX65574 OWS65574:OWT65574 PGO65574:PGP65574 PQK65574:PQL65574 QAG65574:QAH65574 QKC65574:QKD65574 QTY65574:QTZ65574 RDU65574:RDV65574 RNQ65574:RNR65574 RXM65574:RXN65574 SHI65574:SHJ65574 SRE65574:SRF65574 TBA65574:TBB65574 TKW65574:TKX65574 TUS65574:TUT65574 UEO65574:UEP65574 UOK65574:UOL65574 UYG65574:UYH65574 VIC65574:VID65574 VRY65574:VRZ65574 WBU65574:WBV65574 WLQ65574:WLR65574 WVM65574:WVN65574 E131110:F131110 JA131110:JB131110 SW131110:SX131110 ACS131110:ACT131110 AMO131110:AMP131110 AWK131110:AWL131110 BGG131110:BGH131110 BQC131110:BQD131110 BZY131110:BZZ131110 CJU131110:CJV131110 CTQ131110:CTR131110 DDM131110:DDN131110 DNI131110:DNJ131110 DXE131110:DXF131110 EHA131110:EHB131110 EQW131110:EQX131110 FAS131110:FAT131110 FKO131110:FKP131110 FUK131110:FUL131110 GEG131110:GEH131110 GOC131110:GOD131110 GXY131110:GXZ131110 HHU131110:HHV131110 HRQ131110:HRR131110 IBM131110:IBN131110 ILI131110:ILJ131110 IVE131110:IVF131110 JFA131110:JFB131110 JOW131110:JOX131110 JYS131110:JYT131110 KIO131110:KIP131110 KSK131110:KSL131110 LCG131110:LCH131110 LMC131110:LMD131110 LVY131110:LVZ131110 MFU131110:MFV131110 MPQ131110:MPR131110 MZM131110:MZN131110 NJI131110:NJJ131110 NTE131110:NTF131110 ODA131110:ODB131110 OMW131110:OMX131110 OWS131110:OWT131110 PGO131110:PGP131110 PQK131110:PQL131110 QAG131110:QAH131110 QKC131110:QKD131110 QTY131110:QTZ131110 RDU131110:RDV131110 RNQ131110:RNR131110 RXM131110:RXN131110 SHI131110:SHJ131110 SRE131110:SRF131110 TBA131110:TBB131110 TKW131110:TKX131110 TUS131110:TUT131110 UEO131110:UEP131110 UOK131110:UOL131110 UYG131110:UYH131110 VIC131110:VID131110 VRY131110:VRZ131110 WBU131110:WBV131110 WLQ131110:WLR131110 WVM131110:WVN131110 E196646:F196646 JA196646:JB196646 SW196646:SX196646 ACS196646:ACT196646 AMO196646:AMP196646 AWK196646:AWL196646 BGG196646:BGH196646 BQC196646:BQD196646 BZY196646:BZZ196646 CJU196646:CJV196646 CTQ196646:CTR196646 DDM196646:DDN196646 DNI196646:DNJ196646 DXE196646:DXF196646 EHA196646:EHB196646 EQW196646:EQX196646 FAS196646:FAT196646 FKO196646:FKP196646 FUK196646:FUL196646 GEG196646:GEH196646 GOC196646:GOD196646 GXY196646:GXZ196646 HHU196646:HHV196646 HRQ196646:HRR196646 IBM196646:IBN196646 ILI196646:ILJ196646 IVE196646:IVF196646 JFA196646:JFB196646 JOW196646:JOX196646 JYS196646:JYT196646 KIO196646:KIP196646 KSK196646:KSL196646 LCG196646:LCH196646 LMC196646:LMD196646 LVY196646:LVZ196646 MFU196646:MFV196646 MPQ196646:MPR196646 MZM196646:MZN196646 NJI196646:NJJ196646 NTE196646:NTF196646 ODA196646:ODB196646 OMW196646:OMX196646 OWS196646:OWT196646 PGO196646:PGP196646 PQK196646:PQL196646 QAG196646:QAH196646 QKC196646:QKD196646 QTY196646:QTZ196646 RDU196646:RDV196646 RNQ196646:RNR196646 RXM196646:RXN196646 SHI196646:SHJ196646 SRE196646:SRF196646 TBA196646:TBB196646 TKW196646:TKX196646 TUS196646:TUT196646 UEO196646:UEP196646 UOK196646:UOL196646 UYG196646:UYH196646 VIC196646:VID196646 VRY196646:VRZ196646 WBU196646:WBV196646 WLQ196646:WLR196646 WVM196646:WVN196646 E262182:F262182 JA262182:JB262182 SW262182:SX262182 ACS262182:ACT262182 AMO262182:AMP262182 AWK262182:AWL262182 BGG262182:BGH262182 BQC262182:BQD262182 BZY262182:BZZ262182 CJU262182:CJV262182 CTQ262182:CTR262182 DDM262182:DDN262182 DNI262182:DNJ262182 DXE262182:DXF262182 EHA262182:EHB262182 EQW262182:EQX262182 FAS262182:FAT262182 FKO262182:FKP262182 FUK262182:FUL262182 GEG262182:GEH262182 GOC262182:GOD262182 GXY262182:GXZ262182 HHU262182:HHV262182 HRQ262182:HRR262182 IBM262182:IBN262182 ILI262182:ILJ262182 IVE262182:IVF262182 JFA262182:JFB262182 JOW262182:JOX262182 JYS262182:JYT262182 KIO262182:KIP262182 KSK262182:KSL262182 LCG262182:LCH262182 LMC262182:LMD262182 LVY262182:LVZ262182 MFU262182:MFV262182 MPQ262182:MPR262182 MZM262182:MZN262182 NJI262182:NJJ262182 NTE262182:NTF262182 ODA262182:ODB262182 OMW262182:OMX262182 OWS262182:OWT262182 PGO262182:PGP262182 PQK262182:PQL262182 QAG262182:QAH262182 QKC262182:QKD262182 QTY262182:QTZ262182 RDU262182:RDV262182 RNQ262182:RNR262182 RXM262182:RXN262182 SHI262182:SHJ262182 SRE262182:SRF262182 TBA262182:TBB262182 TKW262182:TKX262182 TUS262182:TUT262182 UEO262182:UEP262182 UOK262182:UOL262182 UYG262182:UYH262182 VIC262182:VID262182 VRY262182:VRZ262182 WBU262182:WBV262182 WLQ262182:WLR262182 WVM262182:WVN262182 E327718:F327718 JA327718:JB327718 SW327718:SX327718 ACS327718:ACT327718 AMO327718:AMP327718 AWK327718:AWL327718 BGG327718:BGH327718 BQC327718:BQD327718 BZY327718:BZZ327718 CJU327718:CJV327718 CTQ327718:CTR327718 DDM327718:DDN327718 DNI327718:DNJ327718 DXE327718:DXF327718 EHA327718:EHB327718 EQW327718:EQX327718 FAS327718:FAT327718 FKO327718:FKP327718 FUK327718:FUL327718 GEG327718:GEH327718 GOC327718:GOD327718 GXY327718:GXZ327718 HHU327718:HHV327718 HRQ327718:HRR327718 IBM327718:IBN327718 ILI327718:ILJ327718 IVE327718:IVF327718 JFA327718:JFB327718 JOW327718:JOX327718 JYS327718:JYT327718 KIO327718:KIP327718 KSK327718:KSL327718 LCG327718:LCH327718 LMC327718:LMD327718 LVY327718:LVZ327718 MFU327718:MFV327718 MPQ327718:MPR327718 MZM327718:MZN327718 NJI327718:NJJ327718 NTE327718:NTF327718 ODA327718:ODB327718 OMW327718:OMX327718 OWS327718:OWT327718 PGO327718:PGP327718 PQK327718:PQL327718 QAG327718:QAH327718 QKC327718:QKD327718 QTY327718:QTZ327718 RDU327718:RDV327718 RNQ327718:RNR327718 RXM327718:RXN327718 SHI327718:SHJ327718 SRE327718:SRF327718 TBA327718:TBB327718 TKW327718:TKX327718 TUS327718:TUT327718 UEO327718:UEP327718 UOK327718:UOL327718 UYG327718:UYH327718 VIC327718:VID327718 VRY327718:VRZ327718 WBU327718:WBV327718 WLQ327718:WLR327718 WVM327718:WVN327718 E393254:F393254 JA393254:JB393254 SW393254:SX393254 ACS393254:ACT393254 AMO393254:AMP393254 AWK393254:AWL393254 BGG393254:BGH393254 BQC393254:BQD393254 BZY393254:BZZ393254 CJU393254:CJV393254 CTQ393254:CTR393254 DDM393254:DDN393254 DNI393254:DNJ393254 DXE393254:DXF393254 EHA393254:EHB393254 EQW393254:EQX393254 FAS393254:FAT393254 FKO393254:FKP393254 FUK393254:FUL393254 GEG393254:GEH393254 GOC393254:GOD393254 GXY393254:GXZ393254 HHU393254:HHV393254 HRQ393254:HRR393254 IBM393254:IBN393254 ILI393254:ILJ393254 IVE393254:IVF393254 JFA393254:JFB393254 JOW393254:JOX393254 JYS393254:JYT393254 KIO393254:KIP393254 KSK393254:KSL393254 LCG393254:LCH393254 LMC393254:LMD393254 LVY393254:LVZ393254 MFU393254:MFV393254 MPQ393254:MPR393254 MZM393254:MZN393254 NJI393254:NJJ393254 NTE393254:NTF393254 ODA393254:ODB393254 OMW393254:OMX393254 OWS393254:OWT393254 PGO393254:PGP393254 PQK393254:PQL393254 QAG393254:QAH393254 QKC393254:QKD393254 QTY393254:QTZ393254 RDU393254:RDV393254 RNQ393254:RNR393254 RXM393254:RXN393254 SHI393254:SHJ393254 SRE393254:SRF393254 TBA393254:TBB393254 TKW393254:TKX393254 TUS393254:TUT393254 UEO393254:UEP393254 UOK393254:UOL393254 UYG393254:UYH393254 VIC393254:VID393254 VRY393254:VRZ393254 WBU393254:WBV393254 WLQ393254:WLR393254 WVM393254:WVN393254 E458790:F458790 JA458790:JB458790 SW458790:SX458790 ACS458790:ACT458790 AMO458790:AMP458790 AWK458790:AWL458790 BGG458790:BGH458790 BQC458790:BQD458790 BZY458790:BZZ458790 CJU458790:CJV458790 CTQ458790:CTR458790 DDM458790:DDN458790 DNI458790:DNJ458790 DXE458790:DXF458790 EHA458790:EHB458790 EQW458790:EQX458790 FAS458790:FAT458790 FKO458790:FKP458790 FUK458790:FUL458790 GEG458790:GEH458790 GOC458790:GOD458790 GXY458790:GXZ458790 HHU458790:HHV458790 HRQ458790:HRR458790 IBM458790:IBN458790 ILI458790:ILJ458790 IVE458790:IVF458790 JFA458790:JFB458790 JOW458790:JOX458790 JYS458790:JYT458790 KIO458790:KIP458790 KSK458790:KSL458790 LCG458790:LCH458790 LMC458790:LMD458790 LVY458790:LVZ458790 MFU458790:MFV458790 MPQ458790:MPR458790 MZM458790:MZN458790 NJI458790:NJJ458790 NTE458790:NTF458790 ODA458790:ODB458790 OMW458790:OMX458790 OWS458790:OWT458790 PGO458790:PGP458790 PQK458790:PQL458790 QAG458790:QAH458790 QKC458790:QKD458790 QTY458790:QTZ458790 RDU458790:RDV458790 RNQ458790:RNR458790 RXM458790:RXN458790 SHI458790:SHJ458790 SRE458790:SRF458790 TBA458790:TBB458790 TKW458790:TKX458790 TUS458790:TUT458790 UEO458790:UEP458790 UOK458790:UOL458790 UYG458790:UYH458790 VIC458790:VID458790 VRY458790:VRZ458790 WBU458790:WBV458790 WLQ458790:WLR458790 WVM458790:WVN458790 E524326:F524326 JA524326:JB524326 SW524326:SX524326 ACS524326:ACT524326 AMO524326:AMP524326 AWK524326:AWL524326 BGG524326:BGH524326 BQC524326:BQD524326 BZY524326:BZZ524326 CJU524326:CJV524326 CTQ524326:CTR524326 DDM524326:DDN524326 DNI524326:DNJ524326 DXE524326:DXF524326 EHA524326:EHB524326 EQW524326:EQX524326 FAS524326:FAT524326 FKO524326:FKP524326 FUK524326:FUL524326 GEG524326:GEH524326 GOC524326:GOD524326 GXY524326:GXZ524326 HHU524326:HHV524326 HRQ524326:HRR524326 IBM524326:IBN524326 ILI524326:ILJ524326 IVE524326:IVF524326 JFA524326:JFB524326 JOW524326:JOX524326 JYS524326:JYT524326 KIO524326:KIP524326 KSK524326:KSL524326 LCG524326:LCH524326 LMC524326:LMD524326 LVY524326:LVZ524326 MFU524326:MFV524326 MPQ524326:MPR524326 MZM524326:MZN524326 NJI524326:NJJ524326 NTE524326:NTF524326 ODA524326:ODB524326 OMW524326:OMX524326 OWS524326:OWT524326 PGO524326:PGP524326 PQK524326:PQL524326 QAG524326:QAH524326 QKC524326:QKD524326 QTY524326:QTZ524326 RDU524326:RDV524326 RNQ524326:RNR524326 RXM524326:RXN524326 SHI524326:SHJ524326 SRE524326:SRF524326 TBA524326:TBB524326 TKW524326:TKX524326 TUS524326:TUT524326 UEO524326:UEP524326 UOK524326:UOL524326 UYG524326:UYH524326 VIC524326:VID524326 VRY524326:VRZ524326 WBU524326:WBV524326 WLQ524326:WLR524326 WVM524326:WVN524326 E589862:F589862 JA589862:JB589862 SW589862:SX589862 ACS589862:ACT589862 AMO589862:AMP589862 AWK589862:AWL589862 BGG589862:BGH589862 BQC589862:BQD589862 BZY589862:BZZ589862 CJU589862:CJV589862 CTQ589862:CTR589862 DDM589862:DDN589862 DNI589862:DNJ589862 DXE589862:DXF589862 EHA589862:EHB589862 EQW589862:EQX589862 FAS589862:FAT589862 FKO589862:FKP589862 FUK589862:FUL589862 GEG589862:GEH589862 GOC589862:GOD589862 GXY589862:GXZ589862 HHU589862:HHV589862 HRQ589862:HRR589862 IBM589862:IBN589862 ILI589862:ILJ589862 IVE589862:IVF589862 JFA589862:JFB589862 JOW589862:JOX589862 JYS589862:JYT589862 KIO589862:KIP589862 KSK589862:KSL589862 LCG589862:LCH589862 LMC589862:LMD589862 LVY589862:LVZ589862 MFU589862:MFV589862 MPQ589862:MPR589862 MZM589862:MZN589862 NJI589862:NJJ589862 NTE589862:NTF589862 ODA589862:ODB589862 OMW589862:OMX589862 OWS589862:OWT589862 PGO589862:PGP589862 PQK589862:PQL589862 QAG589862:QAH589862 QKC589862:QKD589862 QTY589862:QTZ589862 RDU589862:RDV589862 RNQ589862:RNR589862 RXM589862:RXN589862 SHI589862:SHJ589862 SRE589862:SRF589862 TBA589862:TBB589862 TKW589862:TKX589862 TUS589862:TUT589862 UEO589862:UEP589862 UOK589862:UOL589862 UYG589862:UYH589862 VIC589862:VID589862 VRY589862:VRZ589862 WBU589862:WBV589862 WLQ589862:WLR589862 WVM589862:WVN589862 E655398:F655398 JA655398:JB655398 SW655398:SX655398 ACS655398:ACT655398 AMO655398:AMP655398 AWK655398:AWL655398 BGG655398:BGH655398 BQC655398:BQD655398 BZY655398:BZZ655398 CJU655398:CJV655398 CTQ655398:CTR655398 DDM655398:DDN655398 DNI655398:DNJ655398 DXE655398:DXF655398 EHA655398:EHB655398 EQW655398:EQX655398 FAS655398:FAT655398 FKO655398:FKP655398 FUK655398:FUL655398 GEG655398:GEH655398 GOC655398:GOD655398 GXY655398:GXZ655398 HHU655398:HHV655398 HRQ655398:HRR655398 IBM655398:IBN655398 ILI655398:ILJ655398 IVE655398:IVF655398 JFA655398:JFB655398 JOW655398:JOX655398 JYS655398:JYT655398 KIO655398:KIP655398 KSK655398:KSL655398 LCG655398:LCH655398 LMC655398:LMD655398 LVY655398:LVZ655398 MFU655398:MFV655398 MPQ655398:MPR655398 MZM655398:MZN655398 NJI655398:NJJ655398 NTE655398:NTF655398 ODA655398:ODB655398 OMW655398:OMX655398 OWS655398:OWT655398 PGO655398:PGP655398 PQK655398:PQL655398 QAG655398:QAH655398 QKC655398:QKD655398 QTY655398:QTZ655398 RDU655398:RDV655398 RNQ655398:RNR655398 RXM655398:RXN655398 SHI655398:SHJ655398 SRE655398:SRF655398 TBA655398:TBB655398 TKW655398:TKX655398 TUS655398:TUT655398 UEO655398:UEP655398 UOK655398:UOL655398 UYG655398:UYH655398 VIC655398:VID655398 VRY655398:VRZ655398 WBU655398:WBV655398 WLQ655398:WLR655398 WVM655398:WVN655398 E720934:F720934 JA720934:JB720934 SW720934:SX720934 ACS720934:ACT720934 AMO720934:AMP720934 AWK720934:AWL720934 BGG720934:BGH720934 BQC720934:BQD720934 BZY720934:BZZ720934 CJU720934:CJV720934 CTQ720934:CTR720934 DDM720934:DDN720934 DNI720934:DNJ720934 DXE720934:DXF720934 EHA720934:EHB720934 EQW720934:EQX720934 FAS720934:FAT720934 FKO720934:FKP720934 FUK720934:FUL720934 GEG720934:GEH720934 GOC720934:GOD720934 GXY720934:GXZ720934 HHU720934:HHV720934 HRQ720934:HRR720934 IBM720934:IBN720934 ILI720934:ILJ720934 IVE720934:IVF720934 JFA720934:JFB720934 JOW720934:JOX720934 JYS720934:JYT720934 KIO720934:KIP720934 KSK720934:KSL720934 LCG720934:LCH720934 LMC720934:LMD720934 LVY720934:LVZ720934 MFU720934:MFV720934 MPQ720934:MPR720934 MZM720934:MZN720934 NJI720934:NJJ720934 NTE720934:NTF720934 ODA720934:ODB720934 OMW720934:OMX720934 OWS720934:OWT720934 PGO720934:PGP720934 PQK720934:PQL720934 QAG720934:QAH720934 QKC720934:QKD720934 QTY720934:QTZ720934 RDU720934:RDV720934 RNQ720934:RNR720934 RXM720934:RXN720934 SHI720934:SHJ720934 SRE720934:SRF720934 TBA720934:TBB720934 TKW720934:TKX720934 TUS720934:TUT720934 UEO720934:UEP720934 UOK720934:UOL720934 UYG720934:UYH720934 VIC720934:VID720934 VRY720934:VRZ720934 WBU720934:WBV720934 WLQ720934:WLR720934 WVM720934:WVN720934 E786470:F786470 JA786470:JB786470 SW786470:SX786470 ACS786470:ACT786470 AMO786470:AMP786470 AWK786470:AWL786470 BGG786470:BGH786470 BQC786470:BQD786470 BZY786470:BZZ786470 CJU786470:CJV786470 CTQ786470:CTR786470 DDM786470:DDN786470 DNI786470:DNJ786470 DXE786470:DXF786470 EHA786470:EHB786470 EQW786470:EQX786470 FAS786470:FAT786470 FKO786470:FKP786470 FUK786470:FUL786470 GEG786470:GEH786470 GOC786470:GOD786470 GXY786470:GXZ786470 HHU786470:HHV786470 HRQ786470:HRR786470 IBM786470:IBN786470 ILI786470:ILJ786470 IVE786470:IVF786470 JFA786470:JFB786470 JOW786470:JOX786470 JYS786470:JYT786470 KIO786470:KIP786470 KSK786470:KSL786470 LCG786470:LCH786470 LMC786470:LMD786470 LVY786470:LVZ786470 MFU786470:MFV786470 MPQ786470:MPR786470 MZM786470:MZN786470 NJI786470:NJJ786470 NTE786470:NTF786470 ODA786470:ODB786470 OMW786470:OMX786470 OWS786470:OWT786470 PGO786470:PGP786470 PQK786470:PQL786470 QAG786470:QAH786470 QKC786470:QKD786470 QTY786470:QTZ786470 RDU786470:RDV786470 RNQ786470:RNR786470 RXM786470:RXN786470 SHI786470:SHJ786470 SRE786470:SRF786470 TBA786470:TBB786470 TKW786470:TKX786470 TUS786470:TUT786470 UEO786470:UEP786470 UOK786470:UOL786470 UYG786470:UYH786470 VIC786470:VID786470 VRY786470:VRZ786470 WBU786470:WBV786470 WLQ786470:WLR786470 WVM786470:WVN786470 E852006:F852006 JA852006:JB852006 SW852006:SX852006 ACS852006:ACT852006 AMO852006:AMP852006 AWK852006:AWL852006 BGG852006:BGH852006 BQC852006:BQD852006 BZY852006:BZZ852006 CJU852006:CJV852006 CTQ852006:CTR852006 DDM852006:DDN852006 DNI852006:DNJ852006 DXE852006:DXF852006 EHA852006:EHB852006 EQW852006:EQX852006 FAS852006:FAT852006 FKO852006:FKP852006 FUK852006:FUL852006 GEG852006:GEH852006 GOC852006:GOD852006 GXY852006:GXZ852006 HHU852006:HHV852006 HRQ852006:HRR852006 IBM852006:IBN852006 ILI852006:ILJ852006 IVE852006:IVF852006 JFA852006:JFB852006 JOW852006:JOX852006 JYS852006:JYT852006 KIO852006:KIP852006 KSK852006:KSL852006 LCG852006:LCH852006 LMC852006:LMD852006 LVY852006:LVZ852006 MFU852006:MFV852006 MPQ852006:MPR852006 MZM852006:MZN852006 NJI852006:NJJ852006 NTE852006:NTF852006 ODA852006:ODB852006 OMW852006:OMX852006 OWS852006:OWT852006 PGO852006:PGP852006 PQK852006:PQL852006 QAG852006:QAH852006 QKC852006:QKD852006 QTY852006:QTZ852006 RDU852006:RDV852006 RNQ852006:RNR852006 RXM852006:RXN852006 SHI852006:SHJ852006 SRE852006:SRF852006 TBA852006:TBB852006 TKW852006:TKX852006 TUS852006:TUT852006 UEO852006:UEP852006 UOK852006:UOL852006 UYG852006:UYH852006 VIC852006:VID852006 VRY852006:VRZ852006 WBU852006:WBV852006 WLQ852006:WLR852006 WVM852006:WVN852006 E917542:F917542 JA917542:JB917542 SW917542:SX917542 ACS917542:ACT917542 AMO917542:AMP917542 AWK917542:AWL917542 BGG917542:BGH917542 BQC917542:BQD917542 BZY917542:BZZ917542 CJU917542:CJV917542 CTQ917542:CTR917542 DDM917542:DDN917542 DNI917542:DNJ917542 DXE917542:DXF917542 EHA917542:EHB917542 EQW917542:EQX917542 FAS917542:FAT917542 FKO917542:FKP917542 FUK917542:FUL917542 GEG917542:GEH917542 GOC917542:GOD917542 GXY917542:GXZ917542 HHU917542:HHV917542 HRQ917542:HRR917542 IBM917542:IBN917542 ILI917542:ILJ917542 IVE917542:IVF917542 JFA917542:JFB917542 JOW917542:JOX917542 JYS917542:JYT917542 KIO917542:KIP917542 KSK917542:KSL917542 LCG917542:LCH917542 LMC917542:LMD917542 LVY917542:LVZ917542 MFU917542:MFV917542 MPQ917542:MPR917542 MZM917542:MZN917542 NJI917542:NJJ917542 NTE917542:NTF917542 ODA917542:ODB917542 OMW917542:OMX917542 OWS917542:OWT917542 PGO917542:PGP917542 PQK917542:PQL917542 QAG917542:QAH917542 QKC917542:QKD917542 QTY917542:QTZ917542 RDU917542:RDV917542 RNQ917542:RNR917542 RXM917542:RXN917542 SHI917542:SHJ917542 SRE917542:SRF917542 TBA917542:TBB917542 TKW917542:TKX917542 TUS917542:TUT917542 UEO917542:UEP917542 UOK917542:UOL917542 UYG917542:UYH917542 VIC917542:VID917542 VRY917542:VRZ917542 WBU917542:WBV917542 WLQ917542:WLR917542 WVM917542:WVN917542 E983078:F983078 JA983078:JB983078 SW983078:SX983078 ACS983078:ACT983078 AMO983078:AMP983078 AWK983078:AWL983078 BGG983078:BGH983078 BQC983078:BQD983078 BZY983078:BZZ983078 CJU983078:CJV983078 CTQ983078:CTR983078 DDM983078:DDN983078 DNI983078:DNJ983078 DXE983078:DXF983078 EHA983078:EHB983078 EQW983078:EQX983078 FAS983078:FAT983078 FKO983078:FKP983078 FUK983078:FUL983078 GEG983078:GEH983078 GOC983078:GOD983078 GXY983078:GXZ983078 HHU983078:HHV983078 HRQ983078:HRR983078 IBM983078:IBN983078 ILI983078:ILJ983078 IVE983078:IVF983078 JFA983078:JFB983078 JOW983078:JOX983078 JYS983078:JYT983078 KIO983078:KIP983078 KSK983078:KSL983078 LCG983078:LCH983078 LMC983078:LMD983078 LVY983078:LVZ983078 MFU983078:MFV983078 MPQ983078:MPR983078 MZM983078:MZN983078 NJI983078:NJJ983078 NTE983078:NTF983078 ODA983078:ODB983078 OMW983078:OMX983078 OWS983078:OWT983078 PGO983078:PGP983078 PQK983078:PQL983078 QAG983078:QAH983078 QKC983078:QKD983078 QTY983078:QTZ983078 RDU983078:RDV983078 RNQ983078:RNR983078 RXM983078:RXN983078 SHI983078:SHJ983078 SRE983078:SRF983078 TBA983078:TBB983078 TKW983078:TKX983078 TUS983078:TUT983078 UEO983078:UEP983078 UOK983078:UOL983078 UYG983078:UYH983078 VIC983078:VID983078 VRY983078:VRZ983078 WBU983078:WBV983078 WLQ983078:WLR983078 WVM983078:WVN983078 F49:G51 JB49:JC51 SX49:SY51 ACT49:ACU51 AMP49:AMQ51 AWL49:AWM51 BGH49:BGI51 BQD49:BQE51 BZZ49:CAA51 CJV49:CJW51 CTR49:CTS51 DDN49:DDO51 DNJ49:DNK51 DXF49:DXG51 EHB49:EHC51 EQX49:EQY51 FAT49:FAU51 FKP49:FKQ51 FUL49:FUM51 GEH49:GEI51 GOD49:GOE51 GXZ49:GYA51 HHV49:HHW51 HRR49:HRS51 IBN49:IBO51 ILJ49:ILK51 IVF49:IVG51 JFB49:JFC51 JOX49:JOY51 JYT49:JYU51 KIP49:KIQ51 KSL49:KSM51 LCH49:LCI51 LMD49:LME51 LVZ49:LWA51 MFV49:MFW51 MPR49:MPS51 MZN49:MZO51 NJJ49:NJK51 NTF49:NTG51 ODB49:ODC51 OMX49:OMY51 OWT49:OWU51 PGP49:PGQ51 PQL49:PQM51 QAH49:QAI51 QKD49:QKE51 QTZ49:QUA51 RDV49:RDW51 RNR49:RNS51 RXN49:RXO51 SHJ49:SHK51 SRF49:SRG51 TBB49:TBC51 TKX49:TKY51 TUT49:TUU51 UEP49:UEQ51 UOL49:UOM51 UYH49:UYI51 VID49:VIE51 VRZ49:VSA51 WBV49:WBW51 WLR49:WLS51 WVN49:WVO51 F65585:G65587 JB65585:JC65587 SX65585:SY65587 ACT65585:ACU65587 AMP65585:AMQ65587 AWL65585:AWM65587 BGH65585:BGI65587 BQD65585:BQE65587 BZZ65585:CAA65587 CJV65585:CJW65587 CTR65585:CTS65587 DDN65585:DDO65587 DNJ65585:DNK65587 DXF65585:DXG65587 EHB65585:EHC65587 EQX65585:EQY65587 FAT65585:FAU65587 FKP65585:FKQ65587 FUL65585:FUM65587 GEH65585:GEI65587 GOD65585:GOE65587 GXZ65585:GYA65587 HHV65585:HHW65587 HRR65585:HRS65587 IBN65585:IBO65587 ILJ65585:ILK65587 IVF65585:IVG65587 JFB65585:JFC65587 JOX65585:JOY65587 JYT65585:JYU65587 KIP65585:KIQ65587 KSL65585:KSM65587 LCH65585:LCI65587 LMD65585:LME65587 LVZ65585:LWA65587 MFV65585:MFW65587 MPR65585:MPS65587 MZN65585:MZO65587 NJJ65585:NJK65587 NTF65585:NTG65587 ODB65585:ODC65587 OMX65585:OMY65587 OWT65585:OWU65587 PGP65585:PGQ65587 PQL65585:PQM65587 QAH65585:QAI65587 QKD65585:QKE65587 QTZ65585:QUA65587 RDV65585:RDW65587 RNR65585:RNS65587 RXN65585:RXO65587 SHJ65585:SHK65587 SRF65585:SRG65587 TBB65585:TBC65587 TKX65585:TKY65587 TUT65585:TUU65587 UEP65585:UEQ65587 UOL65585:UOM65587 UYH65585:UYI65587 VID65585:VIE65587 VRZ65585:VSA65587 WBV65585:WBW65587 WLR65585:WLS65587 WVN65585:WVO65587 F131121:G131123 JB131121:JC131123 SX131121:SY131123 ACT131121:ACU131123 AMP131121:AMQ131123 AWL131121:AWM131123 BGH131121:BGI131123 BQD131121:BQE131123 BZZ131121:CAA131123 CJV131121:CJW131123 CTR131121:CTS131123 DDN131121:DDO131123 DNJ131121:DNK131123 DXF131121:DXG131123 EHB131121:EHC131123 EQX131121:EQY131123 FAT131121:FAU131123 FKP131121:FKQ131123 FUL131121:FUM131123 GEH131121:GEI131123 GOD131121:GOE131123 GXZ131121:GYA131123 HHV131121:HHW131123 HRR131121:HRS131123 IBN131121:IBO131123 ILJ131121:ILK131123 IVF131121:IVG131123 JFB131121:JFC131123 JOX131121:JOY131123 JYT131121:JYU131123 KIP131121:KIQ131123 KSL131121:KSM131123 LCH131121:LCI131123 LMD131121:LME131123 LVZ131121:LWA131123 MFV131121:MFW131123 MPR131121:MPS131123 MZN131121:MZO131123 NJJ131121:NJK131123 NTF131121:NTG131123 ODB131121:ODC131123 OMX131121:OMY131123 OWT131121:OWU131123 PGP131121:PGQ131123 PQL131121:PQM131123 QAH131121:QAI131123 QKD131121:QKE131123 QTZ131121:QUA131123 RDV131121:RDW131123 RNR131121:RNS131123 RXN131121:RXO131123 SHJ131121:SHK131123 SRF131121:SRG131123 TBB131121:TBC131123 TKX131121:TKY131123 TUT131121:TUU131123 UEP131121:UEQ131123 UOL131121:UOM131123 UYH131121:UYI131123 VID131121:VIE131123 VRZ131121:VSA131123 WBV131121:WBW131123 WLR131121:WLS131123 WVN131121:WVO131123 F196657:G196659 JB196657:JC196659 SX196657:SY196659 ACT196657:ACU196659 AMP196657:AMQ196659 AWL196657:AWM196659 BGH196657:BGI196659 BQD196657:BQE196659 BZZ196657:CAA196659 CJV196657:CJW196659 CTR196657:CTS196659 DDN196657:DDO196659 DNJ196657:DNK196659 DXF196657:DXG196659 EHB196657:EHC196659 EQX196657:EQY196659 FAT196657:FAU196659 FKP196657:FKQ196659 FUL196657:FUM196659 GEH196657:GEI196659 GOD196657:GOE196659 GXZ196657:GYA196659 HHV196657:HHW196659 HRR196657:HRS196659 IBN196657:IBO196659 ILJ196657:ILK196659 IVF196657:IVG196659 JFB196657:JFC196659 JOX196657:JOY196659 JYT196657:JYU196659 KIP196657:KIQ196659 KSL196657:KSM196659 LCH196657:LCI196659 LMD196657:LME196659 LVZ196657:LWA196659 MFV196657:MFW196659 MPR196657:MPS196659 MZN196657:MZO196659 NJJ196657:NJK196659 NTF196657:NTG196659 ODB196657:ODC196659 OMX196657:OMY196659 OWT196657:OWU196659 PGP196657:PGQ196659 PQL196657:PQM196659 QAH196657:QAI196659 QKD196657:QKE196659 QTZ196657:QUA196659 RDV196657:RDW196659 RNR196657:RNS196659 RXN196657:RXO196659 SHJ196657:SHK196659 SRF196657:SRG196659 TBB196657:TBC196659 TKX196657:TKY196659 TUT196657:TUU196659 UEP196657:UEQ196659 UOL196657:UOM196659 UYH196657:UYI196659 VID196657:VIE196659 VRZ196657:VSA196659 WBV196657:WBW196659 WLR196657:WLS196659 WVN196657:WVO196659 F262193:G262195 JB262193:JC262195 SX262193:SY262195 ACT262193:ACU262195 AMP262193:AMQ262195 AWL262193:AWM262195 BGH262193:BGI262195 BQD262193:BQE262195 BZZ262193:CAA262195 CJV262193:CJW262195 CTR262193:CTS262195 DDN262193:DDO262195 DNJ262193:DNK262195 DXF262193:DXG262195 EHB262193:EHC262195 EQX262193:EQY262195 FAT262193:FAU262195 FKP262193:FKQ262195 FUL262193:FUM262195 GEH262193:GEI262195 GOD262193:GOE262195 GXZ262193:GYA262195 HHV262193:HHW262195 HRR262193:HRS262195 IBN262193:IBO262195 ILJ262193:ILK262195 IVF262193:IVG262195 JFB262193:JFC262195 JOX262193:JOY262195 JYT262193:JYU262195 KIP262193:KIQ262195 KSL262193:KSM262195 LCH262193:LCI262195 LMD262193:LME262195 LVZ262193:LWA262195 MFV262193:MFW262195 MPR262193:MPS262195 MZN262193:MZO262195 NJJ262193:NJK262195 NTF262193:NTG262195 ODB262193:ODC262195 OMX262193:OMY262195 OWT262193:OWU262195 PGP262193:PGQ262195 PQL262193:PQM262195 QAH262193:QAI262195 QKD262193:QKE262195 QTZ262193:QUA262195 RDV262193:RDW262195 RNR262193:RNS262195 RXN262193:RXO262195 SHJ262193:SHK262195 SRF262193:SRG262195 TBB262193:TBC262195 TKX262193:TKY262195 TUT262193:TUU262195 UEP262193:UEQ262195 UOL262193:UOM262195 UYH262193:UYI262195 VID262193:VIE262195 VRZ262193:VSA262195 WBV262193:WBW262195 WLR262193:WLS262195 WVN262193:WVO262195 F327729:G327731 JB327729:JC327731 SX327729:SY327731 ACT327729:ACU327731 AMP327729:AMQ327731 AWL327729:AWM327731 BGH327729:BGI327731 BQD327729:BQE327731 BZZ327729:CAA327731 CJV327729:CJW327731 CTR327729:CTS327731 DDN327729:DDO327731 DNJ327729:DNK327731 DXF327729:DXG327731 EHB327729:EHC327731 EQX327729:EQY327731 FAT327729:FAU327731 FKP327729:FKQ327731 FUL327729:FUM327731 GEH327729:GEI327731 GOD327729:GOE327731 GXZ327729:GYA327731 HHV327729:HHW327731 HRR327729:HRS327731 IBN327729:IBO327731 ILJ327729:ILK327731 IVF327729:IVG327731 JFB327729:JFC327731 JOX327729:JOY327731 JYT327729:JYU327731 KIP327729:KIQ327731 KSL327729:KSM327731 LCH327729:LCI327731 LMD327729:LME327731 LVZ327729:LWA327731 MFV327729:MFW327731 MPR327729:MPS327731 MZN327729:MZO327731 NJJ327729:NJK327731 NTF327729:NTG327731 ODB327729:ODC327731 OMX327729:OMY327731 OWT327729:OWU327731 PGP327729:PGQ327731 PQL327729:PQM327731 QAH327729:QAI327731 QKD327729:QKE327731 QTZ327729:QUA327731 RDV327729:RDW327731 RNR327729:RNS327731 RXN327729:RXO327731 SHJ327729:SHK327731 SRF327729:SRG327731 TBB327729:TBC327731 TKX327729:TKY327731 TUT327729:TUU327731 UEP327729:UEQ327731 UOL327729:UOM327731 UYH327729:UYI327731 VID327729:VIE327731 VRZ327729:VSA327731 WBV327729:WBW327731 WLR327729:WLS327731 WVN327729:WVO327731 F393265:G393267 JB393265:JC393267 SX393265:SY393267 ACT393265:ACU393267 AMP393265:AMQ393267 AWL393265:AWM393267 BGH393265:BGI393267 BQD393265:BQE393267 BZZ393265:CAA393267 CJV393265:CJW393267 CTR393265:CTS393267 DDN393265:DDO393267 DNJ393265:DNK393267 DXF393265:DXG393267 EHB393265:EHC393267 EQX393265:EQY393267 FAT393265:FAU393267 FKP393265:FKQ393267 FUL393265:FUM393267 GEH393265:GEI393267 GOD393265:GOE393267 GXZ393265:GYA393267 HHV393265:HHW393267 HRR393265:HRS393267 IBN393265:IBO393267 ILJ393265:ILK393267 IVF393265:IVG393267 JFB393265:JFC393267 JOX393265:JOY393267 JYT393265:JYU393267 KIP393265:KIQ393267 KSL393265:KSM393267 LCH393265:LCI393267 LMD393265:LME393267 LVZ393265:LWA393267 MFV393265:MFW393267 MPR393265:MPS393267 MZN393265:MZO393267 NJJ393265:NJK393267 NTF393265:NTG393267 ODB393265:ODC393267 OMX393265:OMY393267 OWT393265:OWU393267 PGP393265:PGQ393267 PQL393265:PQM393267 QAH393265:QAI393267 QKD393265:QKE393267 QTZ393265:QUA393267 RDV393265:RDW393267 RNR393265:RNS393267 RXN393265:RXO393267 SHJ393265:SHK393267 SRF393265:SRG393267 TBB393265:TBC393267 TKX393265:TKY393267 TUT393265:TUU393267 UEP393265:UEQ393267 UOL393265:UOM393267 UYH393265:UYI393267 VID393265:VIE393267 VRZ393265:VSA393267 WBV393265:WBW393267 WLR393265:WLS393267 WVN393265:WVO393267 F458801:G458803 JB458801:JC458803 SX458801:SY458803 ACT458801:ACU458803 AMP458801:AMQ458803 AWL458801:AWM458803 BGH458801:BGI458803 BQD458801:BQE458803 BZZ458801:CAA458803 CJV458801:CJW458803 CTR458801:CTS458803 DDN458801:DDO458803 DNJ458801:DNK458803 DXF458801:DXG458803 EHB458801:EHC458803 EQX458801:EQY458803 FAT458801:FAU458803 FKP458801:FKQ458803 FUL458801:FUM458803 GEH458801:GEI458803 GOD458801:GOE458803 GXZ458801:GYA458803 HHV458801:HHW458803 HRR458801:HRS458803 IBN458801:IBO458803 ILJ458801:ILK458803 IVF458801:IVG458803 JFB458801:JFC458803 JOX458801:JOY458803 JYT458801:JYU458803 KIP458801:KIQ458803 KSL458801:KSM458803 LCH458801:LCI458803 LMD458801:LME458803 LVZ458801:LWA458803 MFV458801:MFW458803 MPR458801:MPS458803 MZN458801:MZO458803 NJJ458801:NJK458803 NTF458801:NTG458803 ODB458801:ODC458803 OMX458801:OMY458803 OWT458801:OWU458803 PGP458801:PGQ458803 PQL458801:PQM458803 QAH458801:QAI458803 QKD458801:QKE458803 QTZ458801:QUA458803 RDV458801:RDW458803 RNR458801:RNS458803 RXN458801:RXO458803 SHJ458801:SHK458803 SRF458801:SRG458803 TBB458801:TBC458803 TKX458801:TKY458803 TUT458801:TUU458803 UEP458801:UEQ458803 UOL458801:UOM458803 UYH458801:UYI458803 VID458801:VIE458803 VRZ458801:VSA458803 WBV458801:WBW458803 WLR458801:WLS458803 WVN458801:WVO458803 F524337:G524339 JB524337:JC524339 SX524337:SY524339 ACT524337:ACU524339 AMP524337:AMQ524339 AWL524337:AWM524339 BGH524337:BGI524339 BQD524337:BQE524339 BZZ524337:CAA524339 CJV524337:CJW524339 CTR524337:CTS524339 DDN524337:DDO524339 DNJ524337:DNK524339 DXF524337:DXG524339 EHB524337:EHC524339 EQX524337:EQY524339 FAT524337:FAU524339 FKP524337:FKQ524339 FUL524337:FUM524339 GEH524337:GEI524339 GOD524337:GOE524339 GXZ524337:GYA524339 HHV524337:HHW524339 HRR524337:HRS524339 IBN524337:IBO524339 ILJ524337:ILK524339 IVF524337:IVG524339 JFB524337:JFC524339 JOX524337:JOY524339 JYT524337:JYU524339 KIP524337:KIQ524339 KSL524337:KSM524339 LCH524337:LCI524339 LMD524337:LME524339 LVZ524337:LWA524339 MFV524337:MFW524339 MPR524337:MPS524339 MZN524337:MZO524339 NJJ524337:NJK524339 NTF524337:NTG524339 ODB524337:ODC524339 OMX524337:OMY524339 OWT524337:OWU524339 PGP524337:PGQ524339 PQL524337:PQM524339 QAH524337:QAI524339 QKD524337:QKE524339 QTZ524337:QUA524339 RDV524337:RDW524339 RNR524337:RNS524339 RXN524337:RXO524339 SHJ524337:SHK524339 SRF524337:SRG524339 TBB524337:TBC524339 TKX524337:TKY524339 TUT524337:TUU524339 UEP524337:UEQ524339 UOL524337:UOM524339 UYH524337:UYI524339 VID524337:VIE524339 VRZ524337:VSA524339 WBV524337:WBW524339 WLR524337:WLS524339 WVN524337:WVO524339 F589873:G589875 JB589873:JC589875 SX589873:SY589875 ACT589873:ACU589875 AMP589873:AMQ589875 AWL589873:AWM589875 BGH589873:BGI589875 BQD589873:BQE589875 BZZ589873:CAA589875 CJV589873:CJW589875 CTR589873:CTS589875 DDN589873:DDO589875 DNJ589873:DNK589875 DXF589873:DXG589875 EHB589873:EHC589875 EQX589873:EQY589875 FAT589873:FAU589875 FKP589873:FKQ589875 FUL589873:FUM589875 GEH589873:GEI589875 GOD589873:GOE589875 GXZ589873:GYA589875 HHV589873:HHW589875 HRR589873:HRS589875 IBN589873:IBO589875 ILJ589873:ILK589875 IVF589873:IVG589875 JFB589873:JFC589875 JOX589873:JOY589875 JYT589873:JYU589875 KIP589873:KIQ589875 KSL589873:KSM589875 LCH589873:LCI589875 LMD589873:LME589875 LVZ589873:LWA589875 MFV589873:MFW589875 MPR589873:MPS589875 MZN589873:MZO589875 NJJ589873:NJK589875 NTF589873:NTG589875 ODB589873:ODC589875 OMX589873:OMY589875 OWT589873:OWU589875 PGP589873:PGQ589875 PQL589873:PQM589875 QAH589873:QAI589875 QKD589873:QKE589875 QTZ589873:QUA589875 RDV589873:RDW589875 RNR589873:RNS589875 RXN589873:RXO589875 SHJ589873:SHK589875 SRF589873:SRG589875 TBB589873:TBC589875 TKX589873:TKY589875 TUT589873:TUU589875 UEP589873:UEQ589875 UOL589873:UOM589875 UYH589873:UYI589875 VID589873:VIE589875 VRZ589873:VSA589875 WBV589873:WBW589875 WLR589873:WLS589875 WVN589873:WVO589875 F655409:G655411 JB655409:JC655411 SX655409:SY655411 ACT655409:ACU655411 AMP655409:AMQ655411 AWL655409:AWM655411 BGH655409:BGI655411 BQD655409:BQE655411 BZZ655409:CAA655411 CJV655409:CJW655411 CTR655409:CTS655411 DDN655409:DDO655411 DNJ655409:DNK655411 DXF655409:DXG655411 EHB655409:EHC655411 EQX655409:EQY655411 FAT655409:FAU655411 FKP655409:FKQ655411 FUL655409:FUM655411 GEH655409:GEI655411 GOD655409:GOE655411 GXZ655409:GYA655411 HHV655409:HHW655411 HRR655409:HRS655411 IBN655409:IBO655411 ILJ655409:ILK655411 IVF655409:IVG655411 JFB655409:JFC655411 JOX655409:JOY655411 JYT655409:JYU655411 KIP655409:KIQ655411 KSL655409:KSM655411 LCH655409:LCI655411 LMD655409:LME655411 LVZ655409:LWA655411 MFV655409:MFW655411 MPR655409:MPS655411 MZN655409:MZO655411 NJJ655409:NJK655411 NTF655409:NTG655411 ODB655409:ODC655411 OMX655409:OMY655411 OWT655409:OWU655411 PGP655409:PGQ655411 PQL655409:PQM655411 QAH655409:QAI655411 QKD655409:QKE655411 QTZ655409:QUA655411 RDV655409:RDW655411 RNR655409:RNS655411 RXN655409:RXO655411 SHJ655409:SHK655411 SRF655409:SRG655411 TBB655409:TBC655411 TKX655409:TKY655411 TUT655409:TUU655411 UEP655409:UEQ655411 UOL655409:UOM655411 UYH655409:UYI655411 VID655409:VIE655411 VRZ655409:VSA655411 WBV655409:WBW655411 WLR655409:WLS655411 WVN655409:WVO655411 F720945:G720947 JB720945:JC720947 SX720945:SY720947 ACT720945:ACU720947 AMP720945:AMQ720947 AWL720945:AWM720947 BGH720945:BGI720947 BQD720945:BQE720947 BZZ720945:CAA720947 CJV720945:CJW720947 CTR720945:CTS720947 DDN720945:DDO720947 DNJ720945:DNK720947 DXF720945:DXG720947 EHB720945:EHC720947 EQX720945:EQY720947 FAT720945:FAU720947 FKP720945:FKQ720947 FUL720945:FUM720947 GEH720945:GEI720947 GOD720945:GOE720947 GXZ720945:GYA720947 HHV720945:HHW720947 HRR720945:HRS720947 IBN720945:IBO720947 ILJ720945:ILK720947 IVF720945:IVG720947 JFB720945:JFC720947 JOX720945:JOY720947 JYT720945:JYU720947 KIP720945:KIQ720947 KSL720945:KSM720947 LCH720945:LCI720947 LMD720945:LME720947 LVZ720945:LWA720947 MFV720945:MFW720947 MPR720945:MPS720947 MZN720945:MZO720947 NJJ720945:NJK720947 NTF720945:NTG720947 ODB720945:ODC720947 OMX720945:OMY720947 OWT720945:OWU720947 PGP720945:PGQ720947 PQL720945:PQM720947 QAH720945:QAI720947 QKD720945:QKE720947 QTZ720945:QUA720947 RDV720945:RDW720947 RNR720945:RNS720947 RXN720945:RXO720947 SHJ720945:SHK720947 SRF720945:SRG720947 TBB720945:TBC720947 TKX720945:TKY720947 TUT720945:TUU720947 UEP720945:UEQ720947 UOL720945:UOM720947 UYH720945:UYI720947 VID720945:VIE720947 VRZ720945:VSA720947 WBV720945:WBW720947 WLR720945:WLS720947 WVN720945:WVO720947 F786481:G786483 JB786481:JC786483 SX786481:SY786483 ACT786481:ACU786483 AMP786481:AMQ786483 AWL786481:AWM786483 BGH786481:BGI786483 BQD786481:BQE786483 BZZ786481:CAA786483 CJV786481:CJW786483 CTR786481:CTS786483 DDN786481:DDO786483 DNJ786481:DNK786483 DXF786481:DXG786483 EHB786481:EHC786483 EQX786481:EQY786483 FAT786481:FAU786483 FKP786481:FKQ786483 FUL786481:FUM786483 GEH786481:GEI786483 GOD786481:GOE786483 GXZ786481:GYA786483 HHV786481:HHW786483 HRR786481:HRS786483 IBN786481:IBO786483 ILJ786481:ILK786483 IVF786481:IVG786483 JFB786481:JFC786483 JOX786481:JOY786483 JYT786481:JYU786483 KIP786481:KIQ786483 KSL786481:KSM786483 LCH786481:LCI786483 LMD786481:LME786483 LVZ786481:LWA786483 MFV786481:MFW786483 MPR786481:MPS786483 MZN786481:MZO786483 NJJ786481:NJK786483 NTF786481:NTG786483 ODB786481:ODC786483 OMX786481:OMY786483 OWT786481:OWU786483 PGP786481:PGQ786483 PQL786481:PQM786483 QAH786481:QAI786483 QKD786481:QKE786483 QTZ786481:QUA786483 RDV786481:RDW786483 RNR786481:RNS786483 RXN786481:RXO786483 SHJ786481:SHK786483 SRF786481:SRG786483 TBB786481:TBC786483 TKX786481:TKY786483 TUT786481:TUU786483 UEP786481:UEQ786483 UOL786481:UOM786483 UYH786481:UYI786483 VID786481:VIE786483 VRZ786481:VSA786483 WBV786481:WBW786483 WLR786481:WLS786483 WVN786481:WVO786483 F852017:G852019 JB852017:JC852019 SX852017:SY852019 ACT852017:ACU852019 AMP852017:AMQ852019 AWL852017:AWM852019 BGH852017:BGI852019 BQD852017:BQE852019 BZZ852017:CAA852019 CJV852017:CJW852019 CTR852017:CTS852019 DDN852017:DDO852019 DNJ852017:DNK852019 DXF852017:DXG852019 EHB852017:EHC852019 EQX852017:EQY852019 FAT852017:FAU852019 FKP852017:FKQ852019 FUL852017:FUM852019 GEH852017:GEI852019 GOD852017:GOE852019 GXZ852017:GYA852019 HHV852017:HHW852019 HRR852017:HRS852019 IBN852017:IBO852019 ILJ852017:ILK852019 IVF852017:IVG852019 JFB852017:JFC852019 JOX852017:JOY852019 JYT852017:JYU852019 KIP852017:KIQ852019 KSL852017:KSM852019 LCH852017:LCI852019 LMD852017:LME852019 LVZ852017:LWA852019 MFV852017:MFW852019 MPR852017:MPS852019 MZN852017:MZO852019 NJJ852017:NJK852019 NTF852017:NTG852019 ODB852017:ODC852019 OMX852017:OMY852019 OWT852017:OWU852019 PGP852017:PGQ852019 PQL852017:PQM852019 QAH852017:QAI852019 QKD852017:QKE852019 QTZ852017:QUA852019 RDV852017:RDW852019 RNR852017:RNS852019 RXN852017:RXO852019 SHJ852017:SHK852019 SRF852017:SRG852019 TBB852017:TBC852019 TKX852017:TKY852019 TUT852017:TUU852019 UEP852017:UEQ852019 UOL852017:UOM852019 UYH852017:UYI852019 VID852017:VIE852019 VRZ852017:VSA852019 WBV852017:WBW852019 WLR852017:WLS852019 WVN852017:WVO852019 F917553:G917555 JB917553:JC917555 SX917553:SY917555 ACT917553:ACU917555 AMP917553:AMQ917555 AWL917553:AWM917555 BGH917553:BGI917555 BQD917553:BQE917555 BZZ917553:CAA917555 CJV917553:CJW917555 CTR917553:CTS917555 DDN917553:DDO917555 DNJ917553:DNK917555 DXF917553:DXG917555 EHB917553:EHC917555 EQX917553:EQY917555 FAT917553:FAU917555 FKP917553:FKQ917555 FUL917553:FUM917555 GEH917553:GEI917555 GOD917553:GOE917555 GXZ917553:GYA917555 HHV917553:HHW917555 HRR917553:HRS917555 IBN917553:IBO917555 ILJ917553:ILK917555 IVF917553:IVG917555 JFB917553:JFC917555 JOX917553:JOY917555 JYT917553:JYU917555 KIP917553:KIQ917555 KSL917553:KSM917555 LCH917553:LCI917555 LMD917553:LME917555 LVZ917553:LWA917555 MFV917553:MFW917555 MPR917553:MPS917555 MZN917553:MZO917555 NJJ917553:NJK917555 NTF917553:NTG917555 ODB917553:ODC917555 OMX917553:OMY917555 OWT917553:OWU917555 PGP917553:PGQ917555 PQL917553:PQM917555 QAH917553:QAI917555 QKD917553:QKE917555 QTZ917553:QUA917555 RDV917553:RDW917555 RNR917553:RNS917555 RXN917553:RXO917555 SHJ917553:SHK917555 SRF917553:SRG917555 TBB917553:TBC917555 TKX917553:TKY917555 TUT917553:TUU917555 UEP917553:UEQ917555 UOL917553:UOM917555 UYH917553:UYI917555 VID917553:VIE917555 VRZ917553:VSA917555 WBV917553:WBW917555 WLR917553:WLS917555 WVN917553:WVO917555 F983089:G983091 JB983089:JC983091 SX983089:SY983091 ACT983089:ACU983091 AMP983089:AMQ983091 AWL983089:AWM983091 BGH983089:BGI983091 BQD983089:BQE983091 BZZ983089:CAA983091 CJV983089:CJW983091 CTR983089:CTS983091 DDN983089:DDO983091 DNJ983089:DNK983091 DXF983089:DXG983091 EHB983089:EHC983091 EQX983089:EQY983091 FAT983089:FAU983091 FKP983089:FKQ983091 FUL983089:FUM983091 GEH983089:GEI983091 GOD983089:GOE983091 GXZ983089:GYA983091 HHV983089:HHW983091 HRR983089:HRS983091 IBN983089:IBO983091 ILJ983089:ILK983091 IVF983089:IVG983091 JFB983089:JFC983091 JOX983089:JOY983091 JYT983089:JYU983091 KIP983089:KIQ983091 KSL983089:KSM983091 LCH983089:LCI983091 LMD983089:LME983091 LVZ983089:LWA983091 MFV983089:MFW983091 MPR983089:MPS983091 MZN983089:MZO983091 NJJ983089:NJK983091 NTF983089:NTG983091 ODB983089:ODC983091 OMX983089:OMY983091 OWT983089:OWU983091 PGP983089:PGQ983091 PQL983089:PQM983091 QAH983089:QAI983091 QKD983089:QKE983091 QTZ983089:QUA983091 RDV983089:RDW983091 RNR983089:RNS983091 RXN983089:RXO983091 SHJ983089:SHK983091 SRF983089:SRG983091 TBB983089:TBC983091 TKX983089:TKY983091 TUT983089:TUU983091 UEP983089:UEQ983091 UOL983089:UOM983091 UYH983089:UYI983091 VID983089:VIE983091 VRZ983089:VSA983091 WBV983089:WBW983091 WLR983089:WLS983091 WVN983089:WVO983091 E54:F54 JA54:JB54 SW54:SX54 ACS54:ACT54 AMO54:AMP54 AWK54:AWL54 BGG54:BGH54 BQC54:BQD54 BZY54:BZZ54 CJU54:CJV54 CTQ54:CTR54 DDM54:DDN54 DNI54:DNJ54 DXE54:DXF54 EHA54:EHB54 EQW54:EQX54 FAS54:FAT54 FKO54:FKP54 FUK54:FUL54 GEG54:GEH54 GOC54:GOD54 GXY54:GXZ54 HHU54:HHV54 HRQ54:HRR54 IBM54:IBN54 ILI54:ILJ54 IVE54:IVF54 JFA54:JFB54 JOW54:JOX54 JYS54:JYT54 KIO54:KIP54 KSK54:KSL54 LCG54:LCH54 LMC54:LMD54 LVY54:LVZ54 MFU54:MFV54 MPQ54:MPR54 MZM54:MZN54 NJI54:NJJ54 NTE54:NTF54 ODA54:ODB54 OMW54:OMX54 OWS54:OWT54 PGO54:PGP54 PQK54:PQL54 QAG54:QAH54 QKC54:QKD54 QTY54:QTZ54 RDU54:RDV54 RNQ54:RNR54 RXM54:RXN54 SHI54:SHJ54 SRE54:SRF54 TBA54:TBB54 TKW54:TKX54 TUS54:TUT54 UEO54:UEP54 UOK54:UOL54 UYG54:UYH54 VIC54:VID54 VRY54:VRZ54 WBU54:WBV54 WLQ54:WLR54 WVM54:WVN54 E65590:F65590 JA65590:JB65590 SW65590:SX65590 ACS65590:ACT65590 AMO65590:AMP65590 AWK65590:AWL65590 BGG65590:BGH65590 BQC65590:BQD65590 BZY65590:BZZ65590 CJU65590:CJV65590 CTQ65590:CTR65590 DDM65590:DDN65590 DNI65590:DNJ65590 DXE65590:DXF65590 EHA65590:EHB65590 EQW65590:EQX65590 FAS65590:FAT65590 FKO65590:FKP65590 FUK65590:FUL65590 GEG65590:GEH65590 GOC65590:GOD65590 GXY65590:GXZ65590 HHU65590:HHV65590 HRQ65590:HRR65590 IBM65590:IBN65590 ILI65590:ILJ65590 IVE65590:IVF65590 JFA65590:JFB65590 JOW65590:JOX65590 JYS65590:JYT65590 KIO65590:KIP65590 KSK65590:KSL65590 LCG65590:LCH65590 LMC65590:LMD65590 LVY65590:LVZ65590 MFU65590:MFV65590 MPQ65590:MPR65590 MZM65590:MZN65590 NJI65590:NJJ65590 NTE65590:NTF65590 ODA65590:ODB65590 OMW65590:OMX65590 OWS65590:OWT65590 PGO65590:PGP65590 PQK65590:PQL65590 QAG65590:QAH65590 QKC65590:QKD65590 QTY65590:QTZ65590 RDU65590:RDV65590 RNQ65590:RNR65590 RXM65590:RXN65590 SHI65590:SHJ65590 SRE65590:SRF65590 TBA65590:TBB65590 TKW65590:TKX65590 TUS65590:TUT65590 UEO65590:UEP65590 UOK65590:UOL65590 UYG65590:UYH65590 VIC65590:VID65590 VRY65590:VRZ65590 WBU65590:WBV65590 WLQ65590:WLR65590 WVM65590:WVN65590 E131126:F131126 JA131126:JB131126 SW131126:SX131126 ACS131126:ACT131126 AMO131126:AMP131126 AWK131126:AWL131126 BGG131126:BGH131126 BQC131126:BQD131126 BZY131126:BZZ131126 CJU131126:CJV131126 CTQ131126:CTR131126 DDM131126:DDN131126 DNI131126:DNJ131126 DXE131126:DXF131126 EHA131126:EHB131126 EQW131126:EQX131126 FAS131126:FAT131126 FKO131126:FKP131126 FUK131126:FUL131126 GEG131126:GEH131126 GOC131126:GOD131126 GXY131126:GXZ131126 HHU131126:HHV131126 HRQ131126:HRR131126 IBM131126:IBN131126 ILI131126:ILJ131126 IVE131126:IVF131126 JFA131126:JFB131126 JOW131126:JOX131126 JYS131126:JYT131126 KIO131126:KIP131126 KSK131126:KSL131126 LCG131126:LCH131126 LMC131126:LMD131126 LVY131126:LVZ131126 MFU131126:MFV131126 MPQ131126:MPR131126 MZM131126:MZN131126 NJI131126:NJJ131126 NTE131126:NTF131126 ODA131126:ODB131126 OMW131126:OMX131126 OWS131126:OWT131126 PGO131126:PGP131126 PQK131126:PQL131126 QAG131126:QAH131126 QKC131126:QKD131126 QTY131126:QTZ131126 RDU131126:RDV131126 RNQ131126:RNR131126 RXM131126:RXN131126 SHI131126:SHJ131126 SRE131126:SRF131126 TBA131126:TBB131126 TKW131126:TKX131126 TUS131126:TUT131126 UEO131126:UEP131126 UOK131126:UOL131126 UYG131126:UYH131126 VIC131126:VID131126 VRY131126:VRZ131126 WBU131126:WBV131126 WLQ131126:WLR131126 WVM131126:WVN131126 E196662:F196662 JA196662:JB196662 SW196662:SX196662 ACS196662:ACT196662 AMO196662:AMP196662 AWK196662:AWL196662 BGG196662:BGH196662 BQC196662:BQD196662 BZY196662:BZZ196662 CJU196662:CJV196662 CTQ196662:CTR196662 DDM196662:DDN196662 DNI196662:DNJ196662 DXE196662:DXF196662 EHA196662:EHB196662 EQW196662:EQX196662 FAS196662:FAT196662 FKO196662:FKP196662 FUK196662:FUL196662 GEG196662:GEH196662 GOC196662:GOD196662 GXY196662:GXZ196662 HHU196662:HHV196662 HRQ196662:HRR196662 IBM196662:IBN196662 ILI196662:ILJ196662 IVE196662:IVF196662 JFA196662:JFB196662 JOW196662:JOX196662 JYS196662:JYT196662 KIO196662:KIP196662 KSK196662:KSL196662 LCG196662:LCH196662 LMC196662:LMD196662 LVY196662:LVZ196662 MFU196662:MFV196662 MPQ196662:MPR196662 MZM196662:MZN196662 NJI196662:NJJ196662 NTE196662:NTF196662 ODA196662:ODB196662 OMW196662:OMX196662 OWS196662:OWT196662 PGO196662:PGP196662 PQK196662:PQL196662 QAG196662:QAH196662 QKC196662:QKD196662 QTY196662:QTZ196662 RDU196662:RDV196662 RNQ196662:RNR196662 RXM196662:RXN196662 SHI196662:SHJ196662 SRE196662:SRF196662 TBA196662:TBB196662 TKW196662:TKX196662 TUS196662:TUT196662 UEO196662:UEP196662 UOK196662:UOL196662 UYG196662:UYH196662 VIC196662:VID196662 VRY196662:VRZ196662 WBU196662:WBV196662 WLQ196662:WLR196662 WVM196662:WVN196662 E262198:F262198 JA262198:JB262198 SW262198:SX262198 ACS262198:ACT262198 AMO262198:AMP262198 AWK262198:AWL262198 BGG262198:BGH262198 BQC262198:BQD262198 BZY262198:BZZ262198 CJU262198:CJV262198 CTQ262198:CTR262198 DDM262198:DDN262198 DNI262198:DNJ262198 DXE262198:DXF262198 EHA262198:EHB262198 EQW262198:EQX262198 FAS262198:FAT262198 FKO262198:FKP262198 FUK262198:FUL262198 GEG262198:GEH262198 GOC262198:GOD262198 GXY262198:GXZ262198 HHU262198:HHV262198 HRQ262198:HRR262198 IBM262198:IBN262198 ILI262198:ILJ262198 IVE262198:IVF262198 JFA262198:JFB262198 JOW262198:JOX262198 JYS262198:JYT262198 KIO262198:KIP262198 KSK262198:KSL262198 LCG262198:LCH262198 LMC262198:LMD262198 LVY262198:LVZ262198 MFU262198:MFV262198 MPQ262198:MPR262198 MZM262198:MZN262198 NJI262198:NJJ262198 NTE262198:NTF262198 ODA262198:ODB262198 OMW262198:OMX262198 OWS262198:OWT262198 PGO262198:PGP262198 PQK262198:PQL262198 QAG262198:QAH262198 QKC262198:QKD262198 QTY262198:QTZ262198 RDU262198:RDV262198 RNQ262198:RNR262198 RXM262198:RXN262198 SHI262198:SHJ262198 SRE262198:SRF262198 TBA262198:TBB262198 TKW262198:TKX262198 TUS262198:TUT262198 UEO262198:UEP262198 UOK262198:UOL262198 UYG262198:UYH262198 VIC262198:VID262198 VRY262198:VRZ262198 WBU262198:WBV262198 WLQ262198:WLR262198 WVM262198:WVN262198 E327734:F327734 JA327734:JB327734 SW327734:SX327734 ACS327734:ACT327734 AMO327734:AMP327734 AWK327734:AWL327734 BGG327734:BGH327734 BQC327734:BQD327734 BZY327734:BZZ327734 CJU327734:CJV327734 CTQ327734:CTR327734 DDM327734:DDN327734 DNI327734:DNJ327734 DXE327734:DXF327734 EHA327734:EHB327734 EQW327734:EQX327734 FAS327734:FAT327734 FKO327734:FKP327734 FUK327734:FUL327734 GEG327734:GEH327734 GOC327734:GOD327734 GXY327734:GXZ327734 HHU327734:HHV327734 HRQ327734:HRR327734 IBM327734:IBN327734 ILI327734:ILJ327734 IVE327734:IVF327734 JFA327734:JFB327734 JOW327734:JOX327734 JYS327734:JYT327734 KIO327734:KIP327734 KSK327734:KSL327734 LCG327734:LCH327734 LMC327734:LMD327734 LVY327734:LVZ327734 MFU327734:MFV327734 MPQ327734:MPR327734 MZM327734:MZN327734 NJI327734:NJJ327734 NTE327734:NTF327734 ODA327734:ODB327734 OMW327734:OMX327734 OWS327734:OWT327734 PGO327734:PGP327734 PQK327734:PQL327734 QAG327734:QAH327734 QKC327734:QKD327734 QTY327734:QTZ327734 RDU327734:RDV327734 RNQ327734:RNR327734 RXM327734:RXN327734 SHI327734:SHJ327734 SRE327734:SRF327734 TBA327734:TBB327734 TKW327734:TKX327734 TUS327734:TUT327734 UEO327734:UEP327734 UOK327734:UOL327734 UYG327734:UYH327734 VIC327734:VID327734 VRY327734:VRZ327734 WBU327734:WBV327734 WLQ327734:WLR327734 WVM327734:WVN327734 E393270:F393270 JA393270:JB393270 SW393270:SX393270 ACS393270:ACT393270 AMO393270:AMP393270 AWK393270:AWL393270 BGG393270:BGH393270 BQC393270:BQD393270 BZY393270:BZZ393270 CJU393270:CJV393270 CTQ393270:CTR393270 DDM393270:DDN393270 DNI393270:DNJ393270 DXE393270:DXF393270 EHA393270:EHB393270 EQW393270:EQX393270 FAS393270:FAT393270 FKO393270:FKP393270 FUK393270:FUL393270 GEG393270:GEH393270 GOC393270:GOD393270 GXY393270:GXZ393270 HHU393270:HHV393270 HRQ393270:HRR393270 IBM393270:IBN393270 ILI393270:ILJ393270 IVE393270:IVF393270 JFA393270:JFB393270 JOW393270:JOX393270 JYS393270:JYT393270 KIO393270:KIP393270 KSK393270:KSL393270 LCG393270:LCH393270 LMC393270:LMD393270 LVY393270:LVZ393270 MFU393270:MFV393270 MPQ393270:MPR393270 MZM393270:MZN393270 NJI393270:NJJ393270 NTE393270:NTF393270 ODA393270:ODB393270 OMW393270:OMX393270 OWS393270:OWT393270 PGO393270:PGP393270 PQK393270:PQL393270 QAG393270:QAH393270 QKC393270:QKD393270 QTY393270:QTZ393270 RDU393270:RDV393270 RNQ393270:RNR393270 RXM393270:RXN393270 SHI393270:SHJ393270 SRE393270:SRF393270 TBA393270:TBB393270 TKW393270:TKX393270 TUS393270:TUT393270 UEO393270:UEP393270 UOK393270:UOL393270 UYG393270:UYH393270 VIC393270:VID393270 VRY393270:VRZ393270 WBU393270:WBV393270 WLQ393270:WLR393270 WVM393270:WVN393270 E458806:F458806 JA458806:JB458806 SW458806:SX458806 ACS458806:ACT458806 AMO458806:AMP458806 AWK458806:AWL458806 BGG458806:BGH458806 BQC458806:BQD458806 BZY458806:BZZ458806 CJU458806:CJV458806 CTQ458806:CTR458806 DDM458806:DDN458806 DNI458806:DNJ458806 DXE458806:DXF458806 EHA458806:EHB458806 EQW458806:EQX458806 FAS458806:FAT458806 FKO458806:FKP458806 FUK458806:FUL458806 GEG458806:GEH458806 GOC458806:GOD458806 GXY458806:GXZ458806 HHU458806:HHV458806 HRQ458806:HRR458806 IBM458806:IBN458806 ILI458806:ILJ458806 IVE458806:IVF458806 JFA458806:JFB458806 JOW458806:JOX458806 JYS458806:JYT458806 KIO458806:KIP458806 KSK458806:KSL458806 LCG458806:LCH458806 LMC458806:LMD458806 LVY458806:LVZ458806 MFU458806:MFV458806 MPQ458806:MPR458806 MZM458806:MZN458806 NJI458806:NJJ458806 NTE458806:NTF458806 ODA458806:ODB458806 OMW458806:OMX458806 OWS458806:OWT458806 PGO458806:PGP458806 PQK458806:PQL458806 QAG458806:QAH458806 QKC458806:QKD458806 QTY458806:QTZ458806 RDU458806:RDV458806 RNQ458806:RNR458806 RXM458806:RXN458806 SHI458806:SHJ458806 SRE458806:SRF458806 TBA458806:TBB458806 TKW458806:TKX458806 TUS458806:TUT458806 UEO458806:UEP458806 UOK458806:UOL458806 UYG458806:UYH458806 VIC458806:VID458806 VRY458806:VRZ458806 WBU458806:WBV458806 WLQ458806:WLR458806 WVM458806:WVN458806 E524342:F524342 JA524342:JB524342 SW524342:SX524342 ACS524342:ACT524342 AMO524342:AMP524342 AWK524342:AWL524342 BGG524342:BGH524342 BQC524342:BQD524342 BZY524342:BZZ524342 CJU524342:CJV524342 CTQ524342:CTR524342 DDM524342:DDN524342 DNI524342:DNJ524342 DXE524342:DXF524342 EHA524342:EHB524342 EQW524342:EQX524342 FAS524342:FAT524342 FKO524342:FKP524342 FUK524342:FUL524342 GEG524342:GEH524342 GOC524342:GOD524342 GXY524342:GXZ524342 HHU524342:HHV524342 HRQ524342:HRR524342 IBM524342:IBN524342 ILI524342:ILJ524342 IVE524342:IVF524342 JFA524342:JFB524342 JOW524342:JOX524342 JYS524342:JYT524342 KIO524342:KIP524342 KSK524342:KSL524342 LCG524342:LCH524342 LMC524342:LMD524342 LVY524342:LVZ524342 MFU524342:MFV524342 MPQ524342:MPR524342 MZM524342:MZN524342 NJI524342:NJJ524342 NTE524342:NTF524342 ODA524342:ODB524342 OMW524342:OMX524342 OWS524342:OWT524342 PGO524342:PGP524342 PQK524342:PQL524342 QAG524342:QAH524342 QKC524342:QKD524342 QTY524342:QTZ524342 RDU524342:RDV524342 RNQ524342:RNR524342 RXM524342:RXN524342 SHI524342:SHJ524342 SRE524342:SRF524342 TBA524342:TBB524342 TKW524342:TKX524342 TUS524342:TUT524342 UEO524342:UEP524342 UOK524342:UOL524342 UYG524342:UYH524342 VIC524342:VID524342 VRY524342:VRZ524342 WBU524342:WBV524342 WLQ524342:WLR524342 WVM524342:WVN524342 E589878:F589878 JA589878:JB589878 SW589878:SX589878 ACS589878:ACT589878 AMO589878:AMP589878 AWK589878:AWL589878 BGG589878:BGH589878 BQC589878:BQD589878 BZY589878:BZZ589878 CJU589878:CJV589878 CTQ589878:CTR589878 DDM589878:DDN589878 DNI589878:DNJ589878 DXE589878:DXF589878 EHA589878:EHB589878 EQW589878:EQX589878 FAS589878:FAT589878 FKO589878:FKP589878 FUK589878:FUL589878 GEG589878:GEH589878 GOC589878:GOD589878 GXY589878:GXZ589878 HHU589878:HHV589878 HRQ589878:HRR589878 IBM589878:IBN589878 ILI589878:ILJ589878 IVE589878:IVF589878 JFA589878:JFB589878 JOW589878:JOX589878 JYS589878:JYT589878 KIO589878:KIP589878 KSK589878:KSL589878 LCG589878:LCH589878 LMC589878:LMD589878 LVY589878:LVZ589878 MFU589878:MFV589878 MPQ589878:MPR589878 MZM589878:MZN589878 NJI589878:NJJ589878 NTE589878:NTF589878 ODA589878:ODB589878 OMW589878:OMX589878 OWS589878:OWT589878 PGO589878:PGP589878 PQK589878:PQL589878 QAG589878:QAH589878 QKC589878:QKD589878 QTY589878:QTZ589878 RDU589878:RDV589878 RNQ589878:RNR589878 RXM589878:RXN589878 SHI589878:SHJ589878 SRE589878:SRF589878 TBA589878:TBB589878 TKW589878:TKX589878 TUS589878:TUT589878 UEO589878:UEP589878 UOK589878:UOL589878 UYG589878:UYH589878 VIC589878:VID589878 VRY589878:VRZ589878 WBU589878:WBV589878 WLQ589878:WLR589878 WVM589878:WVN589878 E655414:F655414 JA655414:JB655414 SW655414:SX655414 ACS655414:ACT655414 AMO655414:AMP655414 AWK655414:AWL655414 BGG655414:BGH655414 BQC655414:BQD655414 BZY655414:BZZ655414 CJU655414:CJV655414 CTQ655414:CTR655414 DDM655414:DDN655414 DNI655414:DNJ655414 DXE655414:DXF655414 EHA655414:EHB655414 EQW655414:EQX655414 FAS655414:FAT655414 FKO655414:FKP655414 FUK655414:FUL655414 GEG655414:GEH655414 GOC655414:GOD655414 GXY655414:GXZ655414 HHU655414:HHV655414 HRQ655414:HRR655414 IBM655414:IBN655414 ILI655414:ILJ655414 IVE655414:IVF655414 JFA655414:JFB655414 JOW655414:JOX655414 JYS655414:JYT655414 KIO655414:KIP655414 KSK655414:KSL655414 LCG655414:LCH655414 LMC655414:LMD655414 LVY655414:LVZ655414 MFU655414:MFV655414 MPQ655414:MPR655414 MZM655414:MZN655414 NJI655414:NJJ655414 NTE655414:NTF655414 ODA655414:ODB655414 OMW655414:OMX655414 OWS655414:OWT655414 PGO655414:PGP655414 PQK655414:PQL655414 QAG655414:QAH655414 QKC655414:QKD655414 QTY655414:QTZ655414 RDU655414:RDV655414 RNQ655414:RNR655414 RXM655414:RXN655414 SHI655414:SHJ655414 SRE655414:SRF655414 TBA655414:TBB655414 TKW655414:TKX655414 TUS655414:TUT655414 UEO655414:UEP655414 UOK655414:UOL655414 UYG655414:UYH655414 VIC655414:VID655414 VRY655414:VRZ655414 WBU655414:WBV655414 WLQ655414:WLR655414 WVM655414:WVN655414 E720950:F720950 JA720950:JB720950 SW720950:SX720950 ACS720950:ACT720950 AMO720950:AMP720950 AWK720950:AWL720950 BGG720950:BGH720950 BQC720950:BQD720950 BZY720950:BZZ720950 CJU720950:CJV720950 CTQ720950:CTR720950 DDM720950:DDN720950 DNI720950:DNJ720950 DXE720950:DXF720950 EHA720950:EHB720950 EQW720950:EQX720950 FAS720950:FAT720950 FKO720950:FKP720950 FUK720950:FUL720950 GEG720950:GEH720950 GOC720950:GOD720950 GXY720950:GXZ720950 HHU720950:HHV720950 HRQ720950:HRR720950 IBM720950:IBN720950 ILI720950:ILJ720950 IVE720950:IVF720950 JFA720950:JFB720950 JOW720950:JOX720950 JYS720950:JYT720950 KIO720950:KIP720950 KSK720950:KSL720950 LCG720950:LCH720950 LMC720950:LMD720950 LVY720950:LVZ720950 MFU720950:MFV720950 MPQ720950:MPR720950 MZM720950:MZN720950 NJI720950:NJJ720950 NTE720950:NTF720950 ODA720950:ODB720950 OMW720950:OMX720950 OWS720950:OWT720950 PGO720950:PGP720950 PQK720950:PQL720950 QAG720950:QAH720950 QKC720950:QKD720950 QTY720950:QTZ720950 RDU720950:RDV720950 RNQ720950:RNR720950 RXM720950:RXN720950 SHI720950:SHJ720950 SRE720950:SRF720950 TBA720950:TBB720950 TKW720950:TKX720950 TUS720950:TUT720950 UEO720950:UEP720950 UOK720950:UOL720950 UYG720950:UYH720950 VIC720950:VID720950 VRY720950:VRZ720950 WBU720950:WBV720950 WLQ720950:WLR720950 WVM720950:WVN720950 E786486:F786486 JA786486:JB786486 SW786486:SX786486 ACS786486:ACT786486 AMO786486:AMP786486 AWK786486:AWL786486 BGG786486:BGH786486 BQC786486:BQD786486 BZY786486:BZZ786486 CJU786486:CJV786486 CTQ786486:CTR786486 DDM786486:DDN786486 DNI786486:DNJ786486 DXE786486:DXF786486 EHA786486:EHB786486 EQW786486:EQX786486 FAS786486:FAT786486 FKO786486:FKP786486 FUK786486:FUL786486 GEG786486:GEH786486 GOC786486:GOD786486 GXY786486:GXZ786486 HHU786486:HHV786486 HRQ786486:HRR786486 IBM786486:IBN786486 ILI786486:ILJ786486 IVE786486:IVF786486 JFA786486:JFB786486 JOW786486:JOX786486 JYS786486:JYT786486 KIO786486:KIP786486 KSK786486:KSL786486 LCG786486:LCH786486 LMC786486:LMD786486 LVY786486:LVZ786486 MFU786486:MFV786486 MPQ786486:MPR786486 MZM786486:MZN786486 NJI786486:NJJ786486 NTE786486:NTF786486 ODA786486:ODB786486 OMW786486:OMX786486 OWS786486:OWT786486 PGO786486:PGP786486 PQK786486:PQL786486 QAG786486:QAH786486 QKC786486:QKD786486 QTY786486:QTZ786486 RDU786486:RDV786486 RNQ786486:RNR786486 RXM786486:RXN786486 SHI786486:SHJ786486 SRE786486:SRF786486 TBA786486:TBB786486 TKW786486:TKX786486 TUS786486:TUT786486 UEO786486:UEP786486 UOK786486:UOL786486 UYG786486:UYH786486 VIC786486:VID786486 VRY786486:VRZ786486 WBU786486:WBV786486 WLQ786486:WLR786486 WVM786486:WVN786486 E852022:F852022 JA852022:JB852022 SW852022:SX852022 ACS852022:ACT852022 AMO852022:AMP852022 AWK852022:AWL852022 BGG852022:BGH852022 BQC852022:BQD852022 BZY852022:BZZ852022 CJU852022:CJV852022 CTQ852022:CTR852022 DDM852022:DDN852022 DNI852022:DNJ852022 DXE852022:DXF852022 EHA852022:EHB852022 EQW852022:EQX852022 FAS852022:FAT852022 FKO852022:FKP852022 FUK852022:FUL852022 GEG852022:GEH852022 GOC852022:GOD852022 GXY852022:GXZ852022 HHU852022:HHV852022 HRQ852022:HRR852022 IBM852022:IBN852022 ILI852022:ILJ852022 IVE852022:IVF852022 JFA852022:JFB852022 JOW852022:JOX852022 JYS852022:JYT852022 KIO852022:KIP852022 KSK852022:KSL852022 LCG852022:LCH852022 LMC852022:LMD852022 LVY852022:LVZ852022 MFU852022:MFV852022 MPQ852022:MPR852022 MZM852022:MZN852022 NJI852022:NJJ852022 NTE852022:NTF852022 ODA852022:ODB852022 OMW852022:OMX852022 OWS852022:OWT852022 PGO852022:PGP852022 PQK852022:PQL852022 QAG852022:QAH852022 QKC852022:QKD852022 QTY852022:QTZ852022 RDU852022:RDV852022 RNQ852022:RNR852022 RXM852022:RXN852022 SHI852022:SHJ852022 SRE852022:SRF852022 TBA852022:TBB852022 TKW852022:TKX852022 TUS852022:TUT852022 UEO852022:UEP852022 UOK852022:UOL852022 UYG852022:UYH852022 VIC852022:VID852022 VRY852022:VRZ852022 WBU852022:WBV852022 WLQ852022:WLR852022 WVM852022:WVN852022 E917558:F917558 JA917558:JB917558 SW917558:SX917558 ACS917558:ACT917558 AMO917558:AMP917558 AWK917558:AWL917558 BGG917558:BGH917558 BQC917558:BQD917558 BZY917558:BZZ917558 CJU917558:CJV917558 CTQ917558:CTR917558 DDM917558:DDN917558 DNI917558:DNJ917558 DXE917558:DXF917558 EHA917558:EHB917558 EQW917558:EQX917558 FAS917558:FAT917558 FKO917558:FKP917558 FUK917558:FUL917558 GEG917558:GEH917558 GOC917558:GOD917558 GXY917558:GXZ917558 HHU917558:HHV917558 HRQ917558:HRR917558 IBM917558:IBN917558 ILI917558:ILJ917558 IVE917558:IVF917558 JFA917558:JFB917558 JOW917558:JOX917558 JYS917558:JYT917558 KIO917558:KIP917558 KSK917558:KSL917558 LCG917558:LCH917558 LMC917558:LMD917558 LVY917558:LVZ917558 MFU917558:MFV917558 MPQ917558:MPR917558 MZM917558:MZN917558 NJI917558:NJJ917558 NTE917558:NTF917558 ODA917558:ODB917558 OMW917558:OMX917558 OWS917558:OWT917558 PGO917558:PGP917558 PQK917558:PQL917558 QAG917558:QAH917558 QKC917558:QKD917558 QTY917558:QTZ917558 RDU917558:RDV917558 RNQ917558:RNR917558 RXM917558:RXN917558 SHI917558:SHJ917558 SRE917558:SRF917558 TBA917558:TBB917558 TKW917558:TKX917558 TUS917558:TUT917558 UEO917558:UEP917558 UOK917558:UOL917558 UYG917558:UYH917558 VIC917558:VID917558 VRY917558:VRZ917558 WBU917558:WBV917558 WLQ917558:WLR917558 WVM917558:WVN917558 E983094:F983094 JA983094:JB983094 SW983094:SX983094 ACS983094:ACT983094 AMO983094:AMP983094 AWK983094:AWL983094 BGG983094:BGH983094 BQC983094:BQD983094 BZY983094:BZZ983094 CJU983094:CJV983094 CTQ983094:CTR983094 DDM983094:DDN983094 DNI983094:DNJ983094 DXE983094:DXF983094 EHA983094:EHB983094 EQW983094:EQX983094 FAS983094:FAT983094 FKO983094:FKP983094 FUK983094:FUL983094 GEG983094:GEH983094 GOC983094:GOD983094 GXY983094:GXZ983094 HHU983094:HHV983094 HRQ983094:HRR983094 IBM983094:IBN983094 ILI983094:ILJ983094 IVE983094:IVF983094 JFA983094:JFB983094 JOW983094:JOX983094 JYS983094:JYT983094 KIO983094:KIP983094 KSK983094:KSL983094 LCG983094:LCH983094 LMC983094:LMD983094 LVY983094:LVZ983094 MFU983094:MFV983094 MPQ983094:MPR983094 MZM983094:MZN983094 NJI983094:NJJ983094 NTE983094:NTF983094 ODA983094:ODB983094 OMW983094:OMX983094 OWS983094:OWT983094 PGO983094:PGP983094 PQK983094:PQL983094 QAG983094:QAH983094 QKC983094:QKD983094 QTY983094:QTZ983094 RDU983094:RDV983094 RNQ983094:RNR983094 RXM983094:RXN983094 SHI983094:SHJ983094 SRE983094:SRF983094 TBA983094:TBB983094 TKW983094:TKX983094 TUS983094:TUT983094 UEO983094:UEP983094 UOK983094:UOL983094 UYG983094:UYH983094 VIC983094:VID983094 VRY983094:VRZ983094 WBU983094:WBV983094 WLQ983094:WLR983094 WVM983094:WVN983094 K54:M54 JG54:JI54 TC54:TE54 ACY54:ADA54 AMU54:AMW54 AWQ54:AWS54 BGM54:BGO54 BQI54:BQK54 CAE54:CAG54 CKA54:CKC54 CTW54:CTY54 DDS54:DDU54 DNO54:DNQ54 DXK54:DXM54 EHG54:EHI54 ERC54:ERE54 FAY54:FBA54 FKU54:FKW54 FUQ54:FUS54 GEM54:GEO54 GOI54:GOK54 GYE54:GYG54 HIA54:HIC54 HRW54:HRY54 IBS54:IBU54 ILO54:ILQ54 IVK54:IVM54 JFG54:JFI54 JPC54:JPE54 JYY54:JZA54 KIU54:KIW54 KSQ54:KSS54 LCM54:LCO54 LMI54:LMK54 LWE54:LWG54 MGA54:MGC54 MPW54:MPY54 MZS54:MZU54 NJO54:NJQ54 NTK54:NTM54 ODG54:ODI54 ONC54:ONE54 OWY54:OXA54 PGU54:PGW54 PQQ54:PQS54 QAM54:QAO54 QKI54:QKK54 QUE54:QUG54 REA54:REC54 RNW54:RNY54 RXS54:RXU54 SHO54:SHQ54 SRK54:SRM54 TBG54:TBI54 TLC54:TLE54 TUY54:TVA54 UEU54:UEW54 UOQ54:UOS54 UYM54:UYO54 VII54:VIK54 VSE54:VSG54 WCA54:WCC54 WLW54:WLY54 WVS54:WVU54 K65590:M65590 JG65590:JI65590 TC65590:TE65590 ACY65590:ADA65590 AMU65590:AMW65590 AWQ65590:AWS65590 BGM65590:BGO65590 BQI65590:BQK65590 CAE65590:CAG65590 CKA65590:CKC65590 CTW65590:CTY65590 DDS65590:DDU65590 DNO65590:DNQ65590 DXK65590:DXM65590 EHG65590:EHI65590 ERC65590:ERE65590 FAY65590:FBA65590 FKU65590:FKW65590 FUQ65590:FUS65590 GEM65590:GEO65590 GOI65590:GOK65590 GYE65590:GYG65590 HIA65590:HIC65590 HRW65590:HRY65590 IBS65590:IBU65590 ILO65590:ILQ65590 IVK65590:IVM65590 JFG65590:JFI65590 JPC65590:JPE65590 JYY65590:JZA65590 KIU65590:KIW65590 KSQ65590:KSS65590 LCM65590:LCO65590 LMI65590:LMK65590 LWE65590:LWG65590 MGA65590:MGC65590 MPW65590:MPY65590 MZS65590:MZU65590 NJO65590:NJQ65590 NTK65590:NTM65590 ODG65590:ODI65590 ONC65590:ONE65590 OWY65590:OXA65590 PGU65590:PGW65590 PQQ65590:PQS65590 QAM65590:QAO65590 QKI65590:QKK65590 QUE65590:QUG65590 REA65590:REC65590 RNW65590:RNY65590 RXS65590:RXU65590 SHO65590:SHQ65590 SRK65590:SRM65590 TBG65590:TBI65590 TLC65590:TLE65590 TUY65590:TVA65590 UEU65590:UEW65590 UOQ65590:UOS65590 UYM65590:UYO65590 VII65590:VIK65590 VSE65590:VSG65590 WCA65590:WCC65590 WLW65590:WLY65590 WVS65590:WVU65590 K131126:M131126 JG131126:JI131126 TC131126:TE131126 ACY131126:ADA131126 AMU131126:AMW131126 AWQ131126:AWS131126 BGM131126:BGO131126 BQI131126:BQK131126 CAE131126:CAG131126 CKA131126:CKC131126 CTW131126:CTY131126 DDS131126:DDU131126 DNO131126:DNQ131126 DXK131126:DXM131126 EHG131126:EHI131126 ERC131126:ERE131126 FAY131126:FBA131126 FKU131126:FKW131126 FUQ131126:FUS131126 GEM131126:GEO131126 GOI131126:GOK131126 GYE131126:GYG131126 HIA131126:HIC131126 HRW131126:HRY131126 IBS131126:IBU131126 ILO131126:ILQ131126 IVK131126:IVM131126 JFG131126:JFI131126 JPC131126:JPE131126 JYY131126:JZA131126 KIU131126:KIW131126 KSQ131126:KSS131126 LCM131126:LCO131126 LMI131126:LMK131126 LWE131126:LWG131126 MGA131126:MGC131126 MPW131126:MPY131126 MZS131126:MZU131126 NJO131126:NJQ131126 NTK131126:NTM131126 ODG131126:ODI131126 ONC131126:ONE131126 OWY131126:OXA131126 PGU131126:PGW131126 PQQ131126:PQS131126 QAM131126:QAO131126 QKI131126:QKK131126 QUE131126:QUG131126 REA131126:REC131126 RNW131126:RNY131126 RXS131126:RXU131126 SHO131126:SHQ131126 SRK131126:SRM131126 TBG131126:TBI131126 TLC131126:TLE131126 TUY131126:TVA131126 UEU131126:UEW131126 UOQ131126:UOS131126 UYM131126:UYO131126 VII131126:VIK131126 VSE131126:VSG131126 WCA131126:WCC131126 WLW131126:WLY131126 WVS131126:WVU131126 K196662:M196662 JG196662:JI196662 TC196662:TE196662 ACY196662:ADA196662 AMU196662:AMW196662 AWQ196662:AWS196662 BGM196662:BGO196662 BQI196662:BQK196662 CAE196662:CAG196662 CKA196662:CKC196662 CTW196662:CTY196662 DDS196662:DDU196662 DNO196662:DNQ196662 DXK196662:DXM196662 EHG196662:EHI196662 ERC196662:ERE196662 FAY196662:FBA196662 FKU196662:FKW196662 FUQ196662:FUS196662 GEM196662:GEO196662 GOI196662:GOK196662 GYE196662:GYG196662 HIA196662:HIC196662 HRW196662:HRY196662 IBS196662:IBU196662 ILO196662:ILQ196662 IVK196662:IVM196662 JFG196662:JFI196662 JPC196662:JPE196662 JYY196662:JZA196662 KIU196662:KIW196662 KSQ196662:KSS196662 LCM196662:LCO196662 LMI196662:LMK196662 LWE196662:LWG196662 MGA196662:MGC196662 MPW196662:MPY196662 MZS196662:MZU196662 NJO196662:NJQ196662 NTK196662:NTM196662 ODG196662:ODI196662 ONC196662:ONE196662 OWY196662:OXA196662 PGU196662:PGW196662 PQQ196662:PQS196662 QAM196662:QAO196662 QKI196662:QKK196662 QUE196662:QUG196662 REA196662:REC196662 RNW196662:RNY196662 RXS196662:RXU196662 SHO196662:SHQ196662 SRK196662:SRM196662 TBG196662:TBI196662 TLC196662:TLE196662 TUY196662:TVA196662 UEU196662:UEW196662 UOQ196662:UOS196662 UYM196662:UYO196662 VII196662:VIK196662 VSE196662:VSG196662 WCA196662:WCC196662 WLW196662:WLY196662 WVS196662:WVU196662 K262198:M262198 JG262198:JI262198 TC262198:TE262198 ACY262198:ADA262198 AMU262198:AMW262198 AWQ262198:AWS262198 BGM262198:BGO262198 BQI262198:BQK262198 CAE262198:CAG262198 CKA262198:CKC262198 CTW262198:CTY262198 DDS262198:DDU262198 DNO262198:DNQ262198 DXK262198:DXM262198 EHG262198:EHI262198 ERC262198:ERE262198 FAY262198:FBA262198 FKU262198:FKW262198 FUQ262198:FUS262198 GEM262198:GEO262198 GOI262198:GOK262198 GYE262198:GYG262198 HIA262198:HIC262198 HRW262198:HRY262198 IBS262198:IBU262198 ILO262198:ILQ262198 IVK262198:IVM262198 JFG262198:JFI262198 JPC262198:JPE262198 JYY262198:JZA262198 KIU262198:KIW262198 KSQ262198:KSS262198 LCM262198:LCO262198 LMI262198:LMK262198 LWE262198:LWG262198 MGA262198:MGC262198 MPW262198:MPY262198 MZS262198:MZU262198 NJO262198:NJQ262198 NTK262198:NTM262198 ODG262198:ODI262198 ONC262198:ONE262198 OWY262198:OXA262198 PGU262198:PGW262198 PQQ262198:PQS262198 QAM262198:QAO262198 QKI262198:QKK262198 QUE262198:QUG262198 REA262198:REC262198 RNW262198:RNY262198 RXS262198:RXU262198 SHO262198:SHQ262198 SRK262198:SRM262198 TBG262198:TBI262198 TLC262198:TLE262198 TUY262198:TVA262198 UEU262198:UEW262198 UOQ262198:UOS262198 UYM262198:UYO262198 VII262198:VIK262198 VSE262198:VSG262198 WCA262198:WCC262198 WLW262198:WLY262198 WVS262198:WVU262198 K327734:M327734 JG327734:JI327734 TC327734:TE327734 ACY327734:ADA327734 AMU327734:AMW327734 AWQ327734:AWS327734 BGM327734:BGO327734 BQI327734:BQK327734 CAE327734:CAG327734 CKA327734:CKC327734 CTW327734:CTY327734 DDS327734:DDU327734 DNO327734:DNQ327734 DXK327734:DXM327734 EHG327734:EHI327734 ERC327734:ERE327734 FAY327734:FBA327734 FKU327734:FKW327734 FUQ327734:FUS327734 GEM327734:GEO327734 GOI327734:GOK327734 GYE327734:GYG327734 HIA327734:HIC327734 HRW327734:HRY327734 IBS327734:IBU327734 ILO327734:ILQ327734 IVK327734:IVM327734 JFG327734:JFI327734 JPC327734:JPE327734 JYY327734:JZA327734 KIU327734:KIW327734 KSQ327734:KSS327734 LCM327734:LCO327734 LMI327734:LMK327734 LWE327734:LWG327734 MGA327734:MGC327734 MPW327734:MPY327734 MZS327734:MZU327734 NJO327734:NJQ327734 NTK327734:NTM327734 ODG327734:ODI327734 ONC327734:ONE327734 OWY327734:OXA327734 PGU327734:PGW327734 PQQ327734:PQS327734 QAM327734:QAO327734 QKI327734:QKK327734 QUE327734:QUG327734 REA327734:REC327734 RNW327734:RNY327734 RXS327734:RXU327734 SHO327734:SHQ327734 SRK327734:SRM327734 TBG327734:TBI327734 TLC327734:TLE327734 TUY327734:TVA327734 UEU327734:UEW327734 UOQ327734:UOS327734 UYM327734:UYO327734 VII327734:VIK327734 VSE327734:VSG327734 WCA327734:WCC327734 WLW327734:WLY327734 WVS327734:WVU327734 K393270:M393270 JG393270:JI393270 TC393270:TE393270 ACY393270:ADA393270 AMU393270:AMW393270 AWQ393270:AWS393270 BGM393270:BGO393270 BQI393270:BQK393270 CAE393270:CAG393270 CKA393270:CKC393270 CTW393270:CTY393270 DDS393270:DDU393270 DNO393270:DNQ393270 DXK393270:DXM393270 EHG393270:EHI393270 ERC393270:ERE393270 FAY393270:FBA393270 FKU393270:FKW393270 FUQ393270:FUS393270 GEM393270:GEO393270 GOI393270:GOK393270 GYE393270:GYG393270 HIA393270:HIC393270 HRW393270:HRY393270 IBS393270:IBU393270 ILO393270:ILQ393270 IVK393270:IVM393270 JFG393270:JFI393270 JPC393270:JPE393270 JYY393270:JZA393270 KIU393270:KIW393270 KSQ393270:KSS393270 LCM393270:LCO393270 LMI393270:LMK393270 LWE393270:LWG393270 MGA393270:MGC393270 MPW393270:MPY393270 MZS393270:MZU393270 NJO393270:NJQ393270 NTK393270:NTM393270 ODG393270:ODI393270 ONC393270:ONE393270 OWY393270:OXA393270 PGU393270:PGW393270 PQQ393270:PQS393270 QAM393270:QAO393270 QKI393270:QKK393270 QUE393270:QUG393270 REA393270:REC393270 RNW393270:RNY393270 RXS393270:RXU393270 SHO393270:SHQ393270 SRK393270:SRM393270 TBG393270:TBI393270 TLC393270:TLE393270 TUY393270:TVA393270 UEU393270:UEW393270 UOQ393270:UOS393270 UYM393270:UYO393270 VII393270:VIK393270 VSE393270:VSG393270 WCA393270:WCC393270 WLW393270:WLY393270 WVS393270:WVU393270 K458806:M458806 JG458806:JI458806 TC458806:TE458806 ACY458806:ADA458806 AMU458806:AMW458806 AWQ458806:AWS458806 BGM458806:BGO458806 BQI458806:BQK458806 CAE458806:CAG458806 CKA458806:CKC458806 CTW458806:CTY458806 DDS458806:DDU458806 DNO458806:DNQ458806 DXK458806:DXM458806 EHG458806:EHI458806 ERC458806:ERE458806 FAY458806:FBA458806 FKU458806:FKW458806 FUQ458806:FUS458806 GEM458806:GEO458806 GOI458806:GOK458806 GYE458806:GYG458806 HIA458806:HIC458806 HRW458806:HRY458806 IBS458806:IBU458806 ILO458806:ILQ458806 IVK458806:IVM458806 JFG458806:JFI458806 JPC458806:JPE458806 JYY458806:JZA458806 KIU458806:KIW458806 KSQ458806:KSS458806 LCM458806:LCO458806 LMI458806:LMK458806 LWE458806:LWG458806 MGA458806:MGC458806 MPW458806:MPY458806 MZS458806:MZU458806 NJO458806:NJQ458806 NTK458806:NTM458806 ODG458806:ODI458806 ONC458806:ONE458806 OWY458806:OXA458806 PGU458806:PGW458806 PQQ458806:PQS458806 QAM458806:QAO458806 QKI458806:QKK458806 QUE458806:QUG458806 REA458806:REC458806 RNW458806:RNY458806 RXS458806:RXU458806 SHO458806:SHQ458806 SRK458806:SRM458806 TBG458806:TBI458806 TLC458806:TLE458806 TUY458806:TVA458806 UEU458806:UEW458806 UOQ458806:UOS458806 UYM458806:UYO458806 VII458806:VIK458806 VSE458806:VSG458806 WCA458806:WCC458806 WLW458806:WLY458806 WVS458806:WVU458806 K524342:M524342 JG524342:JI524342 TC524342:TE524342 ACY524342:ADA524342 AMU524342:AMW524342 AWQ524342:AWS524342 BGM524342:BGO524342 BQI524342:BQK524342 CAE524342:CAG524342 CKA524342:CKC524342 CTW524342:CTY524342 DDS524342:DDU524342 DNO524342:DNQ524342 DXK524342:DXM524342 EHG524342:EHI524342 ERC524342:ERE524342 FAY524342:FBA524342 FKU524342:FKW524342 FUQ524342:FUS524342 GEM524342:GEO524342 GOI524342:GOK524342 GYE524342:GYG524342 HIA524342:HIC524342 HRW524342:HRY524342 IBS524342:IBU524342 ILO524342:ILQ524342 IVK524342:IVM524342 JFG524342:JFI524342 JPC524342:JPE524342 JYY524342:JZA524342 KIU524342:KIW524342 KSQ524342:KSS524342 LCM524342:LCO524342 LMI524342:LMK524342 LWE524342:LWG524342 MGA524342:MGC524342 MPW524342:MPY524342 MZS524342:MZU524342 NJO524342:NJQ524342 NTK524342:NTM524342 ODG524342:ODI524342 ONC524342:ONE524342 OWY524342:OXA524342 PGU524342:PGW524342 PQQ524342:PQS524342 QAM524342:QAO524342 QKI524342:QKK524342 QUE524342:QUG524342 REA524342:REC524342 RNW524342:RNY524342 RXS524342:RXU524342 SHO524342:SHQ524342 SRK524342:SRM524342 TBG524342:TBI524342 TLC524342:TLE524342 TUY524342:TVA524342 UEU524342:UEW524342 UOQ524342:UOS524342 UYM524342:UYO524342 VII524342:VIK524342 VSE524342:VSG524342 WCA524342:WCC524342 WLW524342:WLY524342 WVS524342:WVU524342 K589878:M589878 JG589878:JI589878 TC589878:TE589878 ACY589878:ADA589878 AMU589878:AMW589878 AWQ589878:AWS589878 BGM589878:BGO589878 BQI589878:BQK589878 CAE589878:CAG589878 CKA589878:CKC589878 CTW589878:CTY589878 DDS589878:DDU589878 DNO589878:DNQ589878 DXK589878:DXM589878 EHG589878:EHI589878 ERC589878:ERE589878 FAY589878:FBA589878 FKU589878:FKW589878 FUQ589878:FUS589878 GEM589878:GEO589878 GOI589878:GOK589878 GYE589878:GYG589878 HIA589878:HIC589878 HRW589878:HRY589878 IBS589878:IBU589878 ILO589878:ILQ589878 IVK589878:IVM589878 JFG589878:JFI589878 JPC589878:JPE589878 JYY589878:JZA589878 KIU589878:KIW589878 KSQ589878:KSS589878 LCM589878:LCO589878 LMI589878:LMK589878 LWE589878:LWG589878 MGA589878:MGC589878 MPW589878:MPY589878 MZS589878:MZU589878 NJO589878:NJQ589878 NTK589878:NTM589878 ODG589878:ODI589878 ONC589878:ONE589878 OWY589878:OXA589878 PGU589878:PGW589878 PQQ589878:PQS589878 QAM589878:QAO589878 QKI589878:QKK589878 QUE589878:QUG589878 REA589878:REC589878 RNW589878:RNY589878 RXS589878:RXU589878 SHO589878:SHQ589878 SRK589878:SRM589878 TBG589878:TBI589878 TLC589878:TLE589878 TUY589878:TVA589878 UEU589878:UEW589878 UOQ589878:UOS589878 UYM589878:UYO589878 VII589878:VIK589878 VSE589878:VSG589878 WCA589878:WCC589878 WLW589878:WLY589878 WVS589878:WVU589878 K655414:M655414 JG655414:JI655414 TC655414:TE655414 ACY655414:ADA655414 AMU655414:AMW655414 AWQ655414:AWS655414 BGM655414:BGO655414 BQI655414:BQK655414 CAE655414:CAG655414 CKA655414:CKC655414 CTW655414:CTY655414 DDS655414:DDU655414 DNO655414:DNQ655414 DXK655414:DXM655414 EHG655414:EHI655414 ERC655414:ERE655414 FAY655414:FBA655414 FKU655414:FKW655414 FUQ655414:FUS655414 GEM655414:GEO655414 GOI655414:GOK655414 GYE655414:GYG655414 HIA655414:HIC655414 HRW655414:HRY655414 IBS655414:IBU655414 ILO655414:ILQ655414 IVK655414:IVM655414 JFG655414:JFI655414 JPC655414:JPE655414 JYY655414:JZA655414 KIU655414:KIW655414 KSQ655414:KSS655414 LCM655414:LCO655414 LMI655414:LMK655414 LWE655414:LWG655414 MGA655414:MGC655414 MPW655414:MPY655414 MZS655414:MZU655414 NJO655414:NJQ655414 NTK655414:NTM655414 ODG655414:ODI655414 ONC655414:ONE655414 OWY655414:OXA655414 PGU655414:PGW655414 PQQ655414:PQS655414 QAM655414:QAO655414 QKI655414:QKK655414 QUE655414:QUG655414 REA655414:REC655414 RNW655414:RNY655414 RXS655414:RXU655414 SHO655414:SHQ655414 SRK655414:SRM655414 TBG655414:TBI655414 TLC655414:TLE655414 TUY655414:TVA655414 UEU655414:UEW655414 UOQ655414:UOS655414 UYM655414:UYO655414 VII655414:VIK655414 VSE655414:VSG655414 WCA655414:WCC655414 WLW655414:WLY655414 WVS655414:WVU655414 K720950:M720950 JG720950:JI720950 TC720950:TE720950 ACY720950:ADA720950 AMU720950:AMW720950 AWQ720950:AWS720950 BGM720950:BGO720950 BQI720950:BQK720950 CAE720950:CAG720950 CKA720950:CKC720950 CTW720950:CTY720950 DDS720950:DDU720950 DNO720950:DNQ720950 DXK720950:DXM720950 EHG720950:EHI720950 ERC720950:ERE720950 FAY720950:FBA720950 FKU720950:FKW720950 FUQ720950:FUS720950 GEM720950:GEO720950 GOI720950:GOK720950 GYE720950:GYG720950 HIA720950:HIC720950 HRW720950:HRY720950 IBS720950:IBU720950 ILO720950:ILQ720950 IVK720950:IVM720950 JFG720950:JFI720950 JPC720950:JPE720950 JYY720950:JZA720950 KIU720950:KIW720950 KSQ720950:KSS720950 LCM720950:LCO720950 LMI720950:LMK720950 LWE720950:LWG720950 MGA720950:MGC720950 MPW720950:MPY720950 MZS720950:MZU720950 NJO720950:NJQ720950 NTK720950:NTM720950 ODG720950:ODI720950 ONC720950:ONE720950 OWY720950:OXA720950 PGU720950:PGW720950 PQQ720950:PQS720950 QAM720950:QAO720950 QKI720950:QKK720950 QUE720950:QUG720950 REA720950:REC720950 RNW720950:RNY720950 RXS720950:RXU720950 SHO720950:SHQ720950 SRK720950:SRM720950 TBG720950:TBI720950 TLC720950:TLE720950 TUY720950:TVA720950 UEU720950:UEW720950 UOQ720950:UOS720950 UYM720950:UYO720950 VII720950:VIK720950 VSE720950:VSG720950 WCA720950:WCC720950 WLW720950:WLY720950 WVS720950:WVU720950 K786486:M786486 JG786486:JI786486 TC786486:TE786486 ACY786486:ADA786486 AMU786486:AMW786486 AWQ786486:AWS786486 BGM786486:BGO786486 BQI786486:BQK786486 CAE786486:CAG786486 CKA786486:CKC786486 CTW786486:CTY786486 DDS786486:DDU786486 DNO786486:DNQ786486 DXK786486:DXM786486 EHG786486:EHI786486 ERC786486:ERE786486 FAY786486:FBA786486 FKU786486:FKW786486 FUQ786486:FUS786486 GEM786486:GEO786486 GOI786486:GOK786486 GYE786486:GYG786486 HIA786486:HIC786486 HRW786486:HRY786486 IBS786486:IBU786486 ILO786486:ILQ786486 IVK786486:IVM786486 JFG786486:JFI786486 JPC786486:JPE786486 JYY786486:JZA786486 KIU786486:KIW786486 KSQ786486:KSS786486 LCM786486:LCO786486 LMI786486:LMK786486 LWE786486:LWG786486 MGA786486:MGC786486 MPW786486:MPY786486 MZS786486:MZU786486 NJO786486:NJQ786486 NTK786486:NTM786486 ODG786486:ODI786486 ONC786486:ONE786486 OWY786486:OXA786486 PGU786486:PGW786486 PQQ786486:PQS786486 QAM786486:QAO786486 QKI786486:QKK786486 QUE786486:QUG786486 REA786486:REC786486 RNW786486:RNY786486 RXS786486:RXU786486 SHO786486:SHQ786486 SRK786486:SRM786486 TBG786486:TBI786486 TLC786486:TLE786486 TUY786486:TVA786486 UEU786486:UEW786486 UOQ786486:UOS786486 UYM786486:UYO786486 VII786486:VIK786486 VSE786486:VSG786486 WCA786486:WCC786486 WLW786486:WLY786486 WVS786486:WVU786486 K852022:M852022 JG852022:JI852022 TC852022:TE852022 ACY852022:ADA852022 AMU852022:AMW852022 AWQ852022:AWS852022 BGM852022:BGO852022 BQI852022:BQK852022 CAE852022:CAG852022 CKA852022:CKC852022 CTW852022:CTY852022 DDS852022:DDU852022 DNO852022:DNQ852022 DXK852022:DXM852022 EHG852022:EHI852022 ERC852022:ERE852022 FAY852022:FBA852022 FKU852022:FKW852022 FUQ852022:FUS852022 GEM852022:GEO852022 GOI852022:GOK852022 GYE852022:GYG852022 HIA852022:HIC852022 HRW852022:HRY852022 IBS852022:IBU852022 ILO852022:ILQ852022 IVK852022:IVM852022 JFG852022:JFI852022 JPC852022:JPE852022 JYY852022:JZA852022 KIU852022:KIW852022 KSQ852022:KSS852022 LCM852022:LCO852022 LMI852022:LMK852022 LWE852022:LWG852022 MGA852022:MGC852022 MPW852022:MPY852022 MZS852022:MZU852022 NJO852022:NJQ852022 NTK852022:NTM852022 ODG852022:ODI852022 ONC852022:ONE852022 OWY852022:OXA852022 PGU852022:PGW852022 PQQ852022:PQS852022 QAM852022:QAO852022 QKI852022:QKK852022 QUE852022:QUG852022 REA852022:REC852022 RNW852022:RNY852022 RXS852022:RXU852022 SHO852022:SHQ852022 SRK852022:SRM852022 TBG852022:TBI852022 TLC852022:TLE852022 TUY852022:TVA852022 UEU852022:UEW852022 UOQ852022:UOS852022 UYM852022:UYO852022 VII852022:VIK852022 VSE852022:VSG852022 WCA852022:WCC852022 WLW852022:WLY852022 WVS852022:WVU852022 K917558:M917558 JG917558:JI917558 TC917558:TE917558 ACY917558:ADA917558 AMU917558:AMW917558 AWQ917558:AWS917558 BGM917558:BGO917558 BQI917558:BQK917558 CAE917558:CAG917558 CKA917558:CKC917558 CTW917558:CTY917558 DDS917558:DDU917558 DNO917558:DNQ917558 DXK917558:DXM917558 EHG917558:EHI917558 ERC917558:ERE917558 FAY917558:FBA917558 FKU917558:FKW917558 FUQ917558:FUS917558 GEM917558:GEO917558 GOI917558:GOK917558 GYE917558:GYG917558 HIA917558:HIC917558 HRW917558:HRY917558 IBS917558:IBU917558 ILO917558:ILQ917558 IVK917558:IVM917558 JFG917558:JFI917558 JPC917558:JPE917558 JYY917558:JZA917558 KIU917558:KIW917558 KSQ917558:KSS917558 LCM917558:LCO917558 LMI917558:LMK917558 LWE917558:LWG917558 MGA917558:MGC917558 MPW917558:MPY917558 MZS917558:MZU917558 NJO917558:NJQ917558 NTK917558:NTM917558 ODG917558:ODI917558 ONC917558:ONE917558 OWY917558:OXA917558 PGU917558:PGW917558 PQQ917558:PQS917558 QAM917558:QAO917558 QKI917558:QKK917558 QUE917558:QUG917558 REA917558:REC917558 RNW917558:RNY917558 RXS917558:RXU917558 SHO917558:SHQ917558 SRK917558:SRM917558 TBG917558:TBI917558 TLC917558:TLE917558 TUY917558:TVA917558 UEU917558:UEW917558 UOQ917558:UOS917558 UYM917558:UYO917558 VII917558:VIK917558 VSE917558:VSG917558 WCA917558:WCC917558 WLW917558:WLY917558 WVS917558:WVU917558 K983094:M983094 JG983094:JI983094 TC983094:TE983094 ACY983094:ADA983094 AMU983094:AMW983094 AWQ983094:AWS983094 BGM983094:BGO983094 BQI983094:BQK983094 CAE983094:CAG983094 CKA983094:CKC983094 CTW983094:CTY983094 DDS983094:DDU983094 DNO983094:DNQ983094 DXK983094:DXM983094 EHG983094:EHI983094 ERC983094:ERE983094 FAY983094:FBA983094 FKU983094:FKW983094 FUQ983094:FUS983094 GEM983094:GEO983094 GOI983094:GOK983094 GYE983094:GYG983094 HIA983094:HIC983094 HRW983094:HRY983094 IBS983094:IBU983094 ILO983094:ILQ983094 IVK983094:IVM983094 JFG983094:JFI983094 JPC983094:JPE983094 JYY983094:JZA983094 KIU983094:KIW983094 KSQ983094:KSS983094 LCM983094:LCO983094 LMI983094:LMK983094 LWE983094:LWG983094 MGA983094:MGC983094 MPW983094:MPY983094 MZS983094:MZU983094 NJO983094:NJQ983094 NTK983094:NTM983094 ODG983094:ODI983094 ONC983094:ONE983094 OWY983094:OXA983094 PGU983094:PGW983094 PQQ983094:PQS983094 QAM983094:QAO983094 QKI983094:QKK983094 QUE983094:QUG983094 REA983094:REC983094 RNW983094:RNY983094 RXS983094:RXU983094 SHO983094:SHQ983094 SRK983094:SRM983094 TBG983094:TBI983094 TLC983094:TLE983094 TUY983094:TVA983094 UEU983094:UEW983094 UOQ983094:UOS983094 UYM983094:UYO983094 VII983094:VIK983094 VSE983094:VSG983094 WCA983094:WCC983094 WLW983094:WLY983094 WVS983094:WVU983094 L49:M51 JH49:JI51 TD49:TE51 ACZ49:ADA51 AMV49:AMW51 AWR49:AWS51 BGN49:BGO51 BQJ49:BQK51 CAF49:CAG51 CKB49:CKC51 CTX49:CTY51 DDT49:DDU51 DNP49:DNQ51 DXL49:DXM51 EHH49:EHI51 ERD49:ERE51 FAZ49:FBA51 FKV49:FKW51 FUR49:FUS51 GEN49:GEO51 GOJ49:GOK51 GYF49:GYG51 HIB49:HIC51 HRX49:HRY51 IBT49:IBU51 ILP49:ILQ51 IVL49:IVM51 JFH49:JFI51 JPD49:JPE51 JYZ49:JZA51 KIV49:KIW51 KSR49:KSS51 LCN49:LCO51 LMJ49:LMK51 LWF49:LWG51 MGB49:MGC51 MPX49:MPY51 MZT49:MZU51 NJP49:NJQ51 NTL49:NTM51 ODH49:ODI51 OND49:ONE51 OWZ49:OXA51 PGV49:PGW51 PQR49:PQS51 QAN49:QAO51 QKJ49:QKK51 QUF49:QUG51 REB49:REC51 RNX49:RNY51 RXT49:RXU51 SHP49:SHQ51 SRL49:SRM51 TBH49:TBI51 TLD49:TLE51 TUZ49:TVA51 UEV49:UEW51 UOR49:UOS51 UYN49:UYO51 VIJ49:VIK51 VSF49:VSG51 WCB49:WCC51 WLX49:WLY51 WVT49:WVU51 L65585:M65587 JH65585:JI65587 TD65585:TE65587 ACZ65585:ADA65587 AMV65585:AMW65587 AWR65585:AWS65587 BGN65585:BGO65587 BQJ65585:BQK65587 CAF65585:CAG65587 CKB65585:CKC65587 CTX65585:CTY65587 DDT65585:DDU65587 DNP65585:DNQ65587 DXL65585:DXM65587 EHH65585:EHI65587 ERD65585:ERE65587 FAZ65585:FBA65587 FKV65585:FKW65587 FUR65585:FUS65587 GEN65585:GEO65587 GOJ65585:GOK65587 GYF65585:GYG65587 HIB65585:HIC65587 HRX65585:HRY65587 IBT65585:IBU65587 ILP65585:ILQ65587 IVL65585:IVM65587 JFH65585:JFI65587 JPD65585:JPE65587 JYZ65585:JZA65587 KIV65585:KIW65587 KSR65585:KSS65587 LCN65585:LCO65587 LMJ65585:LMK65587 LWF65585:LWG65587 MGB65585:MGC65587 MPX65585:MPY65587 MZT65585:MZU65587 NJP65585:NJQ65587 NTL65585:NTM65587 ODH65585:ODI65587 OND65585:ONE65587 OWZ65585:OXA65587 PGV65585:PGW65587 PQR65585:PQS65587 QAN65585:QAO65587 QKJ65585:QKK65587 QUF65585:QUG65587 REB65585:REC65587 RNX65585:RNY65587 RXT65585:RXU65587 SHP65585:SHQ65587 SRL65585:SRM65587 TBH65585:TBI65587 TLD65585:TLE65587 TUZ65585:TVA65587 UEV65585:UEW65587 UOR65585:UOS65587 UYN65585:UYO65587 VIJ65585:VIK65587 VSF65585:VSG65587 WCB65585:WCC65587 WLX65585:WLY65587 WVT65585:WVU65587 L131121:M131123 JH131121:JI131123 TD131121:TE131123 ACZ131121:ADA131123 AMV131121:AMW131123 AWR131121:AWS131123 BGN131121:BGO131123 BQJ131121:BQK131123 CAF131121:CAG131123 CKB131121:CKC131123 CTX131121:CTY131123 DDT131121:DDU131123 DNP131121:DNQ131123 DXL131121:DXM131123 EHH131121:EHI131123 ERD131121:ERE131123 FAZ131121:FBA131123 FKV131121:FKW131123 FUR131121:FUS131123 GEN131121:GEO131123 GOJ131121:GOK131123 GYF131121:GYG131123 HIB131121:HIC131123 HRX131121:HRY131123 IBT131121:IBU131123 ILP131121:ILQ131123 IVL131121:IVM131123 JFH131121:JFI131123 JPD131121:JPE131123 JYZ131121:JZA131123 KIV131121:KIW131123 KSR131121:KSS131123 LCN131121:LCO131123 LMJ131121:LMK131123 LWF131121:LWG131123 MGB131121:MGC131123 MPX131121:MPY131123 MZT131121:MZU131123 NJP131121:NJQ131123 NTL131121:NTM131123 ODH131121:ODI131123 OND131121:ONE131123 OWZ131121:OXA131123 PGV131121:PGW131123 PQR131121:PQS131123 QAN131121:QAO131123 QKJ131121:QKK131123 QUF131121:QUG131123 REB131121:REC131123 RNX131121:RNY131123 RXT131121:RXU131123 SHP131121:SHQ131123 SRL131121:SRM131123 TBH131121:TBI131123 TLD131121:TLE131123 TUZ131121:TVA131123 UEV131121:UEW131123 UOR131121:UOS131123 UYN131121:UYO131123 VIJ131121:VIK131123 VSF131121:VSG131123 WCB131121:WCC131123 WLX131121:WLY131123 WVT131121:WVU131123 L196657:M196659 JH196657:JI196659 TD196657:TE196659 ACZ196657:ADA196659 AMV196657:AMW196659 AWR196657:AWS196659 BGN196657:BGO196659 BQJ196657:BQK196659 CAF196657:CAG196659 CKB196657:CKC196659 CTX196657:CTY196659 DDT196657:DDU196659 DNP196657:DNQ196659 DXL196657:DXM196659 EHH196657:EHI196659 ERD196657:ERE196659 FAZ196657:FBA196659 FKV196657:FKW196659 FUR196657:FUS196659 GEN196657:GEO196659 GOJ196657:GOK196659 GYF196657:GYG196659 HIB196657:HIC196659 HRX196657:HRY196659 IBT196657:IBU196659 ILP196657:ILQ196659 IVL196657:IVM196659 JFH196657:JFI196659 JPD196657:JPE196659 JYZ196657:JZA196659 KIV196657:KIW196659 KSR196657:KSS196659 LCN196657:LCO196659 LMJ196657:LMK196659 LWF196657:LWG196659 MGB196657:MGC196659 MPX196657:MPY196659 MZT196657:MZU196659 NJP196657:NJQ196659 NTL196657:NTM196659 ODH196657:ODI196659 OND196657:ONE196659 OWZ196657:OXA196659 PGV196657:PGW196659 PQR196657:PQS196659 QAN196657:QAO196659 QKJ196657:QKK196659 QUF196657:QUG196659 REB196657:REC196659 RNX196657:RNY196659 RXT196657:RXU196659 SHP196657:SHQ196659 SRL196657:SRM196659 TBH196657:TBI196659 TLD196657:TLE196659 TUZ196657:TVA196659 UEV196657:UEW196659 UOR196657:UOS196659 UYN196657:UYO196659 VIJ196657:VIK196659 VSF196657:VSG196659 WCB196657:WCC196659 WLX196657:WLY196659 WVT196657:WVU196659 L262193:M262195 JH262193:JI262195 TD262193:TE262195 ACZ262193:ADA262195 AMV262193:AMW262195 AWR262193:AWS262195 BGN262193:BGO262195 BQJ262193:BQK262195 CAF262193:CAG262195 CKB262193:CKC262195 CTX262193:CTY262195 DDT262193:DDU262195 DNP262193:DNQ262195 DXL262193:DXM262195 EHH262193:EHI262195 ERD262193:ERE262195 FAZ262193:FBA262195 FKV262193:FKW262195 FUR262193:FUS262195 GEN262193:GEO262195 GOJ262193:GOK262195 GYF262193:GYG262195 HIB262193:HIC262195 HRX262193:HRY262195 IBT262193:IBU262195 ILP262193:ILQ262195 IVL262193:IVM262195 JFH262193:JFI262195 JPD262193:JPE262195 JYZ262193:JZA262195 KIV262193:KIW262195 KSR262193:KSS262195 LCN262193:LCO262195 LMJ262193:LMK262195 LWF262193:LWG262195 MGB262193:MGC262195 MPX262193:MPY262195 MZT262193:MZU262195 NJP262193:NJQ262195 NTL262193:NTM262195 ODH262193:ODI262195 OND262193:ONE262195 OWZ262193:OXA262195 PGV262193:PGW262195 PQR262193:PQS262195 QAN262193:QAO262195 QKJ262193:QKK262195 QUF262193:QUG262195 REB262193:REC262195 RNX262193:RNY262195 RXT262193:RXU262195 SHP262193:SHQ262195 SRL262193:SRM262195 TBH262193:TBI262195 TLD262193:TLE262195 TUZ262193:TVA262195 UEV262193:UEW262195 UOR262193:UOS262195 UYN262193:UYO262195 VIJ262193:VIK262195 VSF262193:VSG262195 WCB262193:WCC262195 WLX262193:WLY262195 WVT262193:WVU262195 L327729:M327731 JH327729:JI327731 TD327729:TE327731 ACZ327729:ADA327731 AMV327729:AMW327731 AWR327729:AWS327731 BGN327729:BGO327731 BQJ327729:BQK327731 CAF327729:CAG327731 CKB327729:CKC327731 CTX327729:CTY327731 DDT327729:DDU327731 DNP327729:DNQ327731 DXL327729:DXM327731 EHH327729:EHI327731 ERD327729:ERE327731 FAZ327729:FBA327731 FKV327729:FKW327731 FUR327729:FUS327731 GEN327729:GEO327731 GOJ327729:GOK327731 GYF327729:GYG327731 HIB327729:HIC327731 HRX327729:HRY327731 IBT327729:IBU327731 ILP327729:ILQ327731 IVL327729:IVM327731 JFH327729:JFI327731 JPD327729:JPE327731 JYZ327729:JZA327731 KIV327729:KIW327731 KSR327729:KSS327731 LCN327729:LCO327731 LMJ327729:LMK327731 LWF327729:LWG327731 MGB327729:MGC327731 MPX327729:MPY327731 MZT327729:MZU327731 NJP327729:NJQ327731 NTL327729:NTM327731 ODH327729:ODI327731 OND327729:ONE327731 OWZ327729:OXA327731 PGV327729:PGW327731 PQR327729:PQS327731 QAN327729:QAO327731 QKJ327729:QKK327731 QUF327729:QUG327731 REB327729:REC327731 RNX327729:RNY327731 RXT327729:RXU327731 SHP327729:SHQ327731 SRL327729:SRM327731 TBH327729:TBI327731 TLD327729:TLE327731 TUZ327729:TVA327731 UEV327729:UEW327731 UOR327729:UOS327731 UYN327729:UYO327731 VIJ327729:VIK327731 VSF327729:VSG327731 WCB327729:WCC327731 WLX327729:WLY327731 WVT327729:WVU327731 L393265:M393267 JH393265:JI393267 TD393265:TE393267 ACZ393265:ADA393267 AMV393265:AMW393267 AWR393265:AWS393267 BGN393265:BGO393267 BQJ393265:BQK393267 CAF393265:CAG393267 CKB393265:CKC393267 CTX393265:CTY393267 DDT393265:DDU393267 DNP393265:DNQ393267 DXL393265:DXM393267 EHH393265:EHI393267 ERD393265:ERE393267 FAZ393265:FBA393267 FKV393265:FKW393267 FUR393265:FUS393267 GEN393265:GEO393267 GOJ393265:GOK393267 GYF393265:GYG393267 HIB393265:HIC393267 HRX393265:HRY393267 IBT393265:IBU393267 ILP393265:ILQ393267 IVL393265:IVM393267 JFH393265:JFI393267 JPD393265:JPE393267 JYZ393265:JZA393267 KIV393265:KIW393267 KSR393265:KSS393267 LCN393265:LCO393267 LMJ393265:LMK393267 LWF393265:LWG393267 MGB393265:MGC393267 MPX393265:MPY393267 MZT393265:MZU393267 NJP393265:NJQ393267 NTL393265:NTM393267 ODH393265:ODI393267 OND393265:ONE393267 OWZ393265:OXA393267 PGV393265:PGW393267 PQR393265:PQS393267 QAN393265:QAO393267 QKJ393265:QKK393267 QUF393265:QUG393267 REB393265:REC393267 RNX393265:RNY393267 RXT393265:RXU393267 SHP393265:SHQ393267 SRL393265:SRM393267 TBH393265:TBI393267 TLD393265:TLE393267 TUZ393265:TVA393267 UEV393265:UEW393267 UOR393265:UOS393267 UYN393265:UYO393267 VIJ393265:VIK393267 VSF393265:VSG393267 WCB393265:WCC393267 WLX393265:WLY393267 WVT393265:WVU393267 L458801:M458803 JH458801:JI458803 TD458801:TE458803 ACZ458801:ADA458803 AMV458801:AMW458803 AWR458801:AWS458803 BGN458801:BGO458803 BQJ458801:BQK458803 CAF458801:CAG458803 CKB458801:CKC458803 CTX458801:CTY458803 DDT458801:DDU458803 DNP458801:DNQ458803 DXL458801:DXM458803 EHH458801:EHI458803 ERD458801:ERE458803 FAZ458801:FBA458803 FKV458801:FKW458803 FUR458801:FUS458803 GEN458801:GEO458803 GOJ458801:GOK458803 GYF458801:GYG458803 HIB458801:HIC458803 HRX458801:HRY458803 IBT458801:IBU458803 ILP458801:ILQ458803 IVL458801:IVM458803 JFH458801:JFI458803 JPD458801:JPE458803 JYZ458801:JZA458803 KIV458801:KIW458803 KSR458801:KSS458803 LCN458801:LCO458803 LMJ458801:LMK458803 LWF458801:LWG458803 MGB458801:MGC458803 MPX458801:MPY458803 MZT458801:MZU458803 NJP458801:NJQ458803 NTL458801:NTM458803 ODH458801:ODI458803 OND458801:ONE458803 OWZ458801:OXA458803 PGV458801:PGW458803 PQR458801:PQS458803 QAN458801:QAO458803 QKJ458801:QKK458803 QUF458801:QUG458803 REB458801:REC458803 RNX458801:RNY458803 RXT458801:RXU458803 SHP458801:SHQ458803 SRL458801:SRM458803 TBH458801:TBI458803 TLD458801:TLE458803 TUZ458801:TVA458803 UEV458801:UEW458803 UOR458801:UOS458803 UYN458801:UYO458803 VIJ458801:VIK458803 VSF458801:VSG458803 WCB458801:WCC458803 WLX458801:WLY458803 WVT458801:WVU458803 L524337:M524339 JH524337:JI524339 TD524337:TE524339 ACZ524337:ADA524339 AMV524337:AMW524339 AWR524337:AWS524339 BGN524337:BGO524339 BQJ524337:BQK524339 CAF524337:CAG524339 CKB524337:CKC524339 CTX524337:CTY524339 DDT524337:DDU524339 DNP524337:DNQ524339 DXL524337:DXM524339 EHH524337:EHI524339 ERD524337:ERE524339 FAZ524337:FBA524339 FKV524337:FKW524339 FUR524337:FUS524339 GEN524337:GEO524339 GOJ524337:GOK524339 GYF524337:GYG524339 HIB524337:HIC524339 HRX524337:HRY524339 IBT524337:IBU524339 ILP524337:ILQ524339 IVL524337:IVM524339 JFH524337:JFI524339 JPD524337:JPE524339 JYZ524337:JZA524339 KIV524337:KIW524339 KSR524337:KSS524339 LCN524337:LCO524339 LMJ524337:LMK524339 LWF524337:LWG524339 MGB524337:MGC524339 MPX524337:MPY524339 MZT524337:MZU524339 NJP524337:NJQ524339 NTL524337:NTM524339 ODH524337:ODI524339 OND524337:ONE524339 OWZ524337:OXA524339 PGV524337:PGW524339 PQR524337:PQS524339 QAN524337:QAO524339 QKJ524337:QKK524339 QUF524337:QUG524339 REB524337:REC524339 RNX524337:RNY524339 RXT524337:RXU524339 SHP524337:SHQ524339 SRL524337:SRM524339 TBH524337:TBI524339 TLD524337:TLE524339 TUZ524337:TVA524339 UEV524337:UEW524339 UOR524337:UOS524339 UYN524337:UYO524339 VIJ524337:VIK524339 VSF524337:VSG524339 WCB524337:WCC524339 WLX524337:WLY524339 WVT524337:WVU524339 L589873:M589875 JH589873:JI589875 TD589873:TE589875 ACZ589873:ADA589875 AMV589873:AMW589875 AWR589873:AWS589875 BGN589873:BGO589875 BQJ589873:BQK589875 CAF589873:CAG589875 CKB589873:CKC589875 CTX589873:CTY589875 DDT589873:DDU589875 DNP589873:DNQ589875 DXL589873:DXM589875 EHH589873:EHI589875 ERD589873:ERE589875 FAZ589873:FBA589875 FKV589873:FKW589875 FUR589873:FUS589875 GEN589873:GEO589875 GOJ589873:GOK589875 GYF589873:GYG589875 HIB589873:HIC589875 HRX589873:HRY589875 IBT589873:IBU589875 ILP589873:ILQ589875 IVL589873:IVM589875 JFH589873:JFI589875 JPD589873:JPE589875 JYZ589873:JZA589875 KIV589873:KIW589875 KSR589873:KSS589875 LCN589873:LCO589875 LMJ589873:LMK589875 LWF589873:LWG589875 MGB589873:MGC589875 MPX589873:MPY589875 MZT589873:MZU589875 NJP589873:NJQ589875 NTL589873:NTM589875 ODH589873:ODI589875 OND589873:ONE589875 OWZ589873:OXA589875 PGV589873:PGW589875 PQR589873:PQS589875 QAN589873:QAO589875 QKJ589873:QKK589875 QUF589873:QUG589875 REB589873:REC589875 RNX589873:RNY589875 RXT589873:RXU589875 SHP589873:SHQ589875 SRL589873:SRM589875 TBH589873:TBI589875 TLD589873:TLE589875 TUZ589873:TVA589875 UEV589873:UEW589875 UOR589873:UOS589875 UYN589873:UYO589875 VIJ589873:VIK589875 VSF589873:VSG589875 WCB589873:WCC589875 WLX589873:WLY589875 WVT589873:WVU589875 L655409:M655411 JH655409:JI655411 TD655409:TE655411 ACZ655409:ADA655411 AMV655409:AMW655411 AWR655409:AWS655411 BGN655409:BGO655411 BQJ655409:BQK655411 CAF655409:CAG655411 CKB655409:CKC655411 CTX655409:CTY655411 DDT655409:DDU655411 DNP655409:DNQ655411 DXL655409:DXM655411 EHH655409:EHI655411 ERD655409:ERE655411 FAZ655409:FBA655411 FKV655409:FKW655411 FUR655409:FUS655411 GEN655409:GEO655411 GOJ655409:GOK655411 GYF655409:GYG655411 HIB655409:HIC655411 HRX655409:HRY655411 IBT655409:IBU655411 ILP655409:ILQ655411 IVL655409:IVM655411 JFH655409:JFI655411 JPD655409:JPE655411 JYZ655409:JZA655411 KIV655409:KIW655411 KSR655409:KSS655411 LCN655409:LCO655411 LMJ655409:LMK655411 LWF655409:LWG655411 MGB655409:MGC655411 MPX655409:MPY655411 MZT655409:MZU655411 NJP655409:NJQ655411 NTL655409:NTM655411 ODH655409:ODI655411 OND655409:ONE655411 OWZ655409:OXA655411 PGV655409:PGW655411 PQR655409:PQS655411 QAN655409:QAO655411 QKJ655409:QKK655411 QUF655409:QUG655411 REB655409:REC655411 RNX655409:RNY655411 RXT655409:RXU655411 SHP655409:SHQ655411 SRL655409:SRM655411 TBH655409:TBI655411 TLD655409:TLE655411 TUZ655409:TVA655411 UEV655409:UEW655411 UOR655409:UOS655411 UYN655409:UYO655411 VIJ655409:VIK655411 VSF655409:VSG655411 WCB655409:WCC655411 WLX655409:WLY655411 WVT655409:WVU655411 L720945:M720947 JH720945:JI720947 TD720945:TE720947 ACZ720945:ADA720947 AMV720945:AMW720947 AWR720945:AWS720947 BGN720945:BGO720947 BQJ720945:BQK720947 CAF720945:CAG720947 CKB720945:CKC720947 CTX720945:CTY720947 DDT720945:DDU720947 DNP720945:DNQ720947 DXL720945:DXM720947 EHH720945:EHI720947 ERD720945:ERE720947 FAZ720945:FBA720947 FKV720945:FKW720947 FUR720945:FUS720947 GEN720945:GEO720947 GOJ720945:GOK720947 GYF720945:GYG720947 HIB720945:HIC720947 HRX720945:HRY720947 IBT720945:IBU720947 ILP720945:ILQ720947 IVL720945:IVM720947 JFH720945:JFI720947 JPD720945:JPE720947 JYZ720945:JZA720947 KIV720945:KIW720947 KSR720945:KSS720947 LCN720945:LCO720947 LMJ720945:LMK720947 LWF720945:LWG720947 MGB720945:MGC720947 MPX720945:MPY720947 MZT720945:MZU720947 NJP720945:NJQ720947 NTL720945:NTM720947 ODH720945:ODI720947 OND720945:ONE720947 OWZ720945:OXA720947 PGV720945:PGW720947 PQR720945:PQS720947 QAN720945:QAO720947 QKJ720945:QKK720947 QUF720945:QUG720947 REB720945:REC720947 RNX720945:RNY720947 RXT720945:RXU720947 SHP720945:SHQ720947 SRL720945:SRM720947 TBH720945:TBI720947 TLD720945:TLE720947 TUZ720945:TVA720947 UEV720945:UEW720947 UOR720945:UOS720947 UYN720945:UYO720947 VIJ720945:VIK720947 VSF720945:VSG720947 WCB720945:WCC720947 WLX720945:WLY720947 WVT720945:WVU720947 L786481:M786483 JH786481:JI786483 TD786481:TE786483 ACZ786481:ADA786483 AMV786481:AMW786483 AWR786481:AWS786483 BGN786481:BGO786483 BQJ786481:BQK786483 CAF786481:CAG786483 CKB786481:CKC786483 CTX786481:CTY786483 DDT786481:DDU786483 DNP786481:DNQ786483 DXL786481:DXM786483 EHH786481:EHI786483 ERD786481:ERE786483 FAZ786481:FBA786483 FKV786481:FKW786483 FUR786481:FUS786483 GEN786481:GEO786483 GOJ786481:GOK786483 GYF786481:GYG786483 HIB786481:HIC786483 HRX786481:HRY786483 IBT786481:IBU786483 ILP786481:ILQ786483 IVL786481:IVM786483 JFH786481:JFI786483 JPD786481:JPE786483 JYZ786481:JZA786483 KIV786481:KIW786483 KSR786481:KSS786483 LCN786481:LCO786483 LMJ786481:LMK786483 LWF786481:LWG786483 MGB786481:MGC786483 MPX786481:MPY786483 MZT786481:MZU786483 NJP786481:NJQ786483 NTL786481:NTM786483 ODH786481:ODI786483 OND786481:ONE786483 OWZ786481:OXA786483 PGV786481:PGW786483 PQR786481:PQS786483 QAN786481:QAO786483 QKJ786481:QKK786483 QUF786481:QUG786483 REB786481:REC786483 RNX786481:RNY786483 RXT786481:RXU786483 SHP786481:SHQ786483 SRL786481:SRM786483 TBH786481:TBI786483 TLD786481:TLE786483 TUZ786481:TVA786483 UEV786481:UEW786483 UOR786481:UOS786483 UYN786481:UYO786483 VIJ786481:VIK786483 VSF786481:VSG786483 WCB786481:WCC786483 WLX786481:WLY786483 WVT786481:WVU786483 L852017:M852019 JH852017:JI852019 TD852017:TE852019 ACZ852017:ADA852019 AMV852017:AMW852019 AWR852017:AWS852019 BGN852017:BGO852019 BQJ852017:BQK852019 CAF852017:CAG852019 CKB852017:CKC852019 CTX852017:CTY852019 DDT852017:DDU852019 DNP852017:DNQ852019 DXL852017:DXM852019 EHH852017:EHI852019 ERD852017:ERE852019 FAZ852017:FBA852019 FKV852017:FKW852019 FUR852017:FUS852019 GEN852017:GEO852019 GOJ852017:GOK852019 GYF852017:GYG852019 HIB852017:HIC852019 HRX852017:HRY852019 IBT852017:IBU852019 ILP852017:ILQ852019 IVL852017:IVM852019 JFH852017:JFI852019 JPD852017:JPE852019 JYZ852017:JZA852019 KIV852017:KIW852019 KSR852017:KSS852019 LCN852017:LCO852019 LMJ852017:LMK852019 LWF852017:LWG852019 MGB852017:MGC852019 MPX852017:MPY852019 MZT852017:MZU852019 NJP852017:NJQ852019 NTL852017:NTM852019 ODH852017:ODI852019 OND852017:ONE852019 OWZ852017:OXA852019 PGV852017:PGW852019 PQR852017:PQS852019 QAN852017:QAO852019 QKJ852017:QKK852019 QUF852017:QUG852019 REB852017:REC852019 RNX852017:RNY852019 RXT852017:RXU852019 SHP852017:SHQ852019 SRL852017:SRM852019 TBH852017:TBI852019 TLD852017:TLE852019 TUZ852017:TVA852019 UEV852017:UEW852019 UOR852017:UOS852019 UYN852017:UYO852019 VIJ852017:VIK852019 VSF852017:VSG852019 WCB852017:WCC852019 WLX852017:WLY852019 WVT852017:WVU852019 L917553:M917555 JH917553:JI917555 TD917553:TE917555 ACZ917553:ADA917555 AMV917553:AMW917555 AWR917553:AWS917555 BGN917553:BGO917555 BQJ917553:BQK917555 CAF917553:CAG917555 CKB917553:CKC917555 CTX917553:CTY917555 DDT917553:DDU917555 DNP917553:DNQ917555 DXL917553:DXM917555 EHH917553:EHI917555 ERD917553:ERE917555 FAZ917553:FBA917555 FKV917553:FKW917555 FUR917553:FUS917555 GEN917553:GEO917555 GOJ917553:GOK917555 GYF917553:GYG917555 HIB917553:HIC917555 HRX917553:HRY917555 IBT917553:IBU917555 ILP917553:ILQ917555 IVL917553:IVM917555 JFH917553:JFI917555 JPD917553:JPE917555 JYZ917553:JZA917555 KIV917553:KIW917555 KSR917553:KSS917555 LCN917553:LCO917555 LMJ917553:LMK917555 LWF917553:LWG917555 MGB917553:MGC917555 MPX917553:MPY917555 MZT917553:MZU917555 NJP917553:NJQ917555 NTL917553:NTM917555 ODH917553:ODI917555 OND917553:ONE917555 OWZ917553:OXA917555 PGV917553:PGW917555 PQR917553:PQS917555 QAN917553:QAO917555 QKJ917553:QKK917555 QUF917553:QUG917555 REB917553:REC917555 RNX917553:RNY917555 RXT917553:RXU917555 SHP917553:SHQ917555 SRL917553:SRM917555 TBH917553:TBI917555 TLD917553:TLE917555 TUZ917553:TVA917555 UEV917553:UEW917555 UOR917553:UOS917555 UYN917553:UYO917555 VIJ917553:VIK917555 VSF917553:VSG917555 WCB917553:WCC917555 WLX917553:WLY917555 WVT917553:WVU917555 L983089:M983091 JH983089:JI983091 TD983089:TE983091 ACZ983089:ADA983091 AMV983089:AMW983091 AWR983089:AWS983091 BGN983089:BGO983091 BQJ983089:BQK983091 CAF983089:CAG983091 CKB983089:CKC983091 CTX983089:CTY983091 DDT983089:DDU983091 DNP983089:DNQ983091 DXL983089:DXM983091 EHH983089:EHI983091 ERD983089:ERE983091 FAZ983089:FBA983091 FKV983089:FKW983091 FUR983089:FUS983091 GEN983089:GEO983091 GOJ983089:GOK983091 GYF983089:GYG983091 HIB983089:HIC983091 HRX983089:HRY983091 IBT983089:IBU983091 ILP983089:ILQ983091 IVL983089:IVM983091 JFH983089:JFI983091 JPD983089:JPE983091 JYZ983089:JZA983091 KIV983089:KIW983091 KSR983089:KSS983091 LCN983089:LCO983091 LMJ983089:LMK983091 LWF983089:LWG983091 MGB983089:MGC983091 MPX983089:MPY983091 MZT983089:MZU983091 NJP983089:NJQ983091 NTL983089:NTM983091 ODH983089:ODI983091 OND983089:ONE983091 OWZ983089:OXA983091 PGV983089:PGW983091 PQR983089:PQS983091 QAN983089:QAO983091 QKJ983089:QKK983091 QUF983089:QUG983091 REB983089:REC983091 RNX983089:RNY983091 RXT983089:RXU983091 SHP983089:SHQ983091 SRL983089:SRM983091 TBH983089:TBI983091 TLD983089:TLE983091 TUZ983089:TVA983091 UEV983089:UEW983091 UOR983089:UOS983091 UYN983089:UYO983091 VIJ983089:VIK983091 VSF983089:VSG983091 WCB983089:WCC983091 WLX983089:WLY983091 WVT983089:WVU983091 F66:G68 JB66:JC68 SX66:SY68 ACT66:ACU68 AMP66:AMQ68 AWL66:AWM68 BGH66:BGI68 BQD66:BQE68 BZZ66:CAA68 CJV66:CJW68 CTR66:CTS68 DDN66:DDO68 DNJ66:DNK68 DXF66:DXG68 EHB66:EHC68 EQX66:EQY68 FAT66:FAU68 FKP66:FKQ68 FUL66:FUM68 GEH66:GEI68 GOD66:GOE68 GXZ66:GYA68 HHV66:HHW68 HRR66:HRS68 IBN66:IBO68 ILJ66:ILK68 IVF66:IVG68 JFB66:JFC68 JOX66:JOY68 JYT66:JYU68 KIP66:KIQ68 KSL66:KSM68 LCH66:LCI68 LMD66:LME68 LVZ66:LWA68 MFV66:MFW68 MPR66:MPS68 MZN66:MZO68 NJJ66:NJK68 NTF66:NTG68 ODB66:ODC68 OMX66:OMY68 OWT66:OWU68 PGP66:PGQ68 PQL66:PQM68 QAH66:QAI68 QKD66:QKE68 QTZ66:QUA68 RDV66:RDW68 RNR66:RNS68 RXN66:RXO68 SHJ66:SHK68 SRF66:SRG68 TBB66:TBC68 TKX66:TKY68 TUT66:TUU68 UEP66:UEQ68 UOL66:UOM68 UYH66:UYI68 VID66:VIE68 VRZ66:VSA68 WBV66:WBW68 WLR66:WLS68 WVN66:WVO68 F65602:G65604 JB65602:JC65604 SX65602:SY65604 ACT65602:ACU65604 AMP65602:AMQ65604 AWL65602:AWM65604 BGH65602:BGI65604 BQD65602:BQE65604 BZZ65602:CAA65604 CJV65602:CJW65604 CTR65602:CTS65604 DDN65602:DDO65604 DNJ65602:DNK65604 DXF65602:DXG65604 EHB65602:EHC65604 EQX65602:EQY65604 FAT65602:FAU65604 FKP65602:FKQ65604 FUL65602:FUM65604 GEH65602:GEI65604 GOD65602:GOE65604 GXZ65602:GYA65604 HHV65602:HHW65604 HRR65602:HRS65604 IBN65602:IBO65604 ILJ65602:ILK65604 IVF65602:IVG65604 JFB65602:JFC65604 JOX65602:JOY65604 JYT65602:JYU65604 KIP65602:KIQ65604 KSL65602:KSM65604 LCH65602:LCI65604 LMD65602:LME65604 LVZ65602:LWA65604 MFV65602:MFW65604 MPR65602:MPS65604 MZN65602:MZO65604 NJJ65602:NJK65604 NTF65602:NTG65604 ODB65602:ODC65604 OMX65602:OMY65604 OWT65602:OWU65604 PGP65602:PGQ65604 PQL65602:PQM65604 QAH65602:QAI65604 QKD65602:QKE65604 QTZ65602:QUA65604 RDV65602:RDW65604 RNR65602:RNS65604 RXN65602:RXO65604 SHJ65602:SHK65604 SRF65602:SRG65604 TBB65602:TBC65604 TKX65602:TKY65604 TUT65602:TUU65604 UEP65602:UEQ65604 UOL65602:UOM65604 UYH65602:UYI65604 VID65602:VIE65604 VRZ65602:VSA65604 WBV65602:WBW65604 WLR65602:WLS65604 WVN65602:WVO65604 F131138:G131140 JB131138:JC131140 SX131138:SY131140 ACT131138:ACU131140 AMP131138:AMQ131140 AWL131138:AWM131140 BGH131138:BGI131140 BQD131138:BQE131140 BZZ131138:CAA131140 CJV131138:CJW131140 CTR131138:CTS131140 DDN131138:DDO131140 DNJ131138:DNK131140 DXF131138:DXG131140 EHB131138:EHC131140 EQX131138:EQY131140 FAT131138:FAU131140 FKP131138:FKQ131140 FUL131138:FUM131140 GEH131138:GEI131140 GOD131138:GOE131140 GXZ131138:GYA131140 HHV131138:HHW131140 HRR131138:HRS131140 IBN131138:IBO131140 ILJ131138:ILK131140 IVF131138:IVG131140 JFB131138:JFC131140 JOX131138:JOY131140 JYT131138:JYU131140 KIP131138:KIQ131140 KSL131138:KSM131140 LCH131138:LCI131140 LMD131138:LME131140 LVZ131138:LWA131140 MFV131138:MFW131140 MPR131138:MPS131140 MZN131138:MZO131140 NJJ131138:NJK131140 NTF131138:NTG131140 ODB131138:ODC131140 OMX131138:OMY131140 OWT131138:OWU131140 PGP131138:PGQ131140 PQL131138:PQM131140 QAH131138:QAI131140 QKD131138:QKE131140 QTZ131138:QUA131140 RDV131138:RDW131140 RNR131138:RNS131140 RXN131138:RXO131140 SHJ131138:SHK131140 SRF131138:SRG131140 TBB131138:TBC131140 TKX131138:TKY131140 TUT131138:TUU131140 UEP131138:UEQ131140 UOL131138:UOM131140 UYH131138:UYI131140 VID131138:VIE131140 VRZ131138:VSA131140 WBV131138:WBW131140 WLR131138:WLS131140 WVN131138:WVO131140 F196674:G196676 JB196674:JC196676 SX196674:SY196676 ACT196674:ACU196676 AMP196674:AMQ196676 AWL196674:AWM196676 BGH196674:BGI196676 BQD196674:BQE196676 BZZ196674:CAA196676 CJV196674:CJW196676 CTR196674:CTS196676 DDN196674:DDO196676 DNJ196674:DNK196676 DXF196674:DXG196676 EHB196674:EHC196676 EQX196674:EQY196676 FAT196674:FAU196676 FKP196674:FKQ196676 FUL196674:FUM196676 GEH196674:GEI196676 GOD196674:GOE196676 GXZ196674:GYA196676 HHV196674:HHW196676 HRR196674:HRS196676 IBN196674:IBO196676 ILJ196674:ILK196676 IVF196674:IVG196676 JFB196674:JFC196676 JOX196674:JOY196676 JYT196674:JYU196676 KIP196674:KIQ196676 KSL196674:KSM196676 LCH196674:LCI196676 LMD196674:LME196676 LVZ196674:LWA196676 MFV196674:MFW196676 MPR196674:MPS196676 MZN196674:MZO196676 NJJ196674:NJK196676 NTF196674:NTG196676 ODB196674:ODC196676 OMX196674:OMY196676 OWT196674:OWU196676 PGP196674:PGQ196676 PQL196674:PQM196676 QAH196674:QAI196676 QKD196674:QKE196676 QTZ196674:QUA196676 RDV196674:RDW196676 RNR196674:RNS196676 RXN196674:RXO196676 SHJ196674:SHK196676 SRF196674:SRG196676 TBB196674:TBC196676 TKX196674:TKY196676 TUT196674:TUU196676 UEP196674:UEQ196676 UOL196674:UOM196676 UYH196674:UYI196676 VID196674:VIE196676 VRZ196674:VSA196676 WBV196674:WBW196676 WLR196674:WLS196676 WVN196674:WVO196676 F262210:G262212 JB262210:JC262212 SX262210:SY262212 ACT262210:ACU262212 AMP262210:AMQ262212 AWL262210:AWM262212 BGH262210:BGI262212 BQD262210:BQE262212 BZZ262210:CAA262212 CJV262210:CJW262212 CTR262210:CTS262212 DDN262210:DDO262212 DNJ262210:DNK262212 DXF262210:DXG262212 EHB262210:EHC262212 EQX262210:EQY262212 FAT262210:FAU262212 FKP262210:FKQ262212 FUL262210:FUM262212 GEH262210:GEI262212 GOD262210:GOE262212 GXZ262210:GYA262212 HHV262210:HHW262212 HRR262210:HRS262212 IBN262210:IBO262212 ILJ262210:ILK262212 IVF262210:IVG262212 JFB262210:JFC262212 JOX262210:JOY262212 JYT262210:JYU262212 KIP262210:KIQ262212 KSL262210:KSM262212 LCH262210:LCI262212 LMD262210:LME262212 LVZ262210:LWA262212 MFV262210:MFW262212 MPR262210:MPS262212 MZN262210:MZO262212 NJJ262210:NJK262212 NTF262210:NTG262212 ODB262210:ODC262212 OMX262210:OMY262212 OWT262210:OWU262212 PGP262210:PGQ262212 PQL262210:PQM262212 QAH262210:QAI262212 QKD262210:QKE262212 QTZ262210:QUA262212 RDV262210:RDW262212 RNR262210:RNS262212 RXN262210:RXO262212 SHJ262210:SHK262212 SRF262210:SRG262212 TBB262210:TBC262212 TKX262210:TKY262212 TUT262210:TUU262212 UEP262210:UEQ262212 UOL262210:UOM262212 UYH262210:UYI262212 VID262210:VIE262212 VRZ262210:VSA262212 WBV262210:WBW262212 WLR262210:WLS262212 WVN262210:WVO262212 F327746:G327748 JB327746:JC327748 SX327746:SY327748 ACT327746:ACU327748 AMP327746:AMQ327748 AWL327746:AWM327748 BGH327746:BGI327748 BQD327746:BQE327748 BZZ327746:CAA327748 CJV327746:CJW327748 CTR327746:CTS327748 DDN327746:DDO327748 DNJ327746:DNK327748 DXF327746:DXG327748 EHB327746:EHC327748 EQX327746:EQY327748 FAT327746:FAU327748 FKP327746:FKQ327748 FUL327746:FUM327748 GEH327746:GEI327748 GOD327746:GOE327748 GXZ327746:GYA327748 HHV327746:HHW327748 HRR327746:HRS327748 IBN327746:IBO327748 ILJ327746:ILK327748 IVF327746:IVG327748 JFB327746:JFC327748 JOX327746:JOY327748 JYT327746:JYU327748 KIP327746:KIQ327748 KSL327746:KSM327748 LCH327746:LCI327748 LMD327746:LME327748 LVZ327746:LWA327748 MFV327746:MFW327748 MPR327746:MPS327748 MZN327746:MZO327748 NJJ327746:NJK327748 NTF327746:NTG327748 ODB327746:ODC327748 OMX327746:OMY327748 OWT327746:OWU327748 PGP327746:PGQ327748 PQL327746:PQM327748 QAH327746:QAI327748 QKD327746:QKE327748 QTZ327746:QUA327748 RDV327746:RDW327748 RNR327746:RNS327748 RXN327746:RXO327748 SHJ327746:SHK327748 SRF327746:SRG327748 TBB327746:TBC327748 TKX327746:TKY327748 TUT327746:TUU327748 UEP327746:UEQ327748 UOL327746:UOM327748 UYH327746:UYI327748 VID327746:VIE327748 VRZ327746:VSA327748 WBV327746:WBW327748 WLR327746:WLS327748 WVN327746:WVO327748 F393282:G393284 JB393282:JC393284 SX393282:SY393284 ACT393282:ACU393284 AMP393282:AMQ393284 AWL393282:AWM393284 BGH393282:BGI393284 BQD393282:BQE393284 BZZ393282:CAA393284 CJV393282:CJW393284 CTR393282:CTS393284 DDN393282:DDO393284 DNJ393282:DNK393284 DXF393282:DXG393284 EHB393282:EHC393284 EQX393282:EQY393284 FAT393282:FAU393284 FKP393282:FKQ393284 FUL393282:FUM393284 GEH393282:GEI393284 GOD393282:GOE393284 GXZ393282:GYA393284 HHV393282:HHW393284 HRR393282:HRS393284 IBN393282:IBO393284 ILJ393282:ILK393284 IVF393282:IVG393284 JFB393282:JFC393284 JOX393282:JOY393284 JYT393282:JYU393284 KIP393282:KIQ393284 KSL393282:KSM393284 LCH393282:LCI393284 LMD393282:LME393284 LVZ393282:LWA393284 MFV393282:MFW393284 MPR393282:MPS393284 MZN393282:MZO393284 NJJ393282:NJK393284 NTF393282:NTG393284 ODB393282:ODC393284 OMX393282:OMY393284 OWT393282:OWU393284 PGP393282:PGQ393284 PQL393282:PQM393284 QAH393282:QAI393284 QKD393282:QKE393284 QTZ393282:QUA393284 RDV393282:RDW393284 RNR393282:RNS393284 RXN393282:RXO393284 SHJ393282:SHK393284 SRF393282:SRG393284 TBB393282:TBC393284 TKX393282:TKY393284 TUT393282:TUU393284 UEP393282:UEQ393284 UOL393282:UOM393284 UYH393282:UYI393284 VID393282:VIE393284 VRZ393282:VSA393284 WBV393282:WBW393284 WLR393282:WLS393284 WVN393282:WVO393284 F458818:G458820 JB458818:JC458820 SX458818:SY458820 ACT458818:ACU458820 AMP458818:AMQ458820 AWL458818:AWM458820 BGH458818:BGI458820 BQD458818:BQE458820 BZZ458818:CAA458820 CJV458818:CJW458820 CTR458818:CTS458820 DDN458818:DDO458820 DNJ458818:DNK458820 DXF458818:DXG458820 EHB458818:EHC458820 EQX458818:EQY458820 FAT458818:FAU458820 FKP458818:FKQ458820 FUL458818:FUM458820 GEH458818:GEI458820 GOD458818:GOE458820 GXZ458818:GYA458820 HHV458818:HHW458820 HRR458818:HRS458820 IBN458818:IBO458820 ILJ458818:ILK458820 IVF458818:IVG458820 JFB458818:JFC458820 JOX458818:JOY458820 JYT458818:JYU458820 KIP458818:KIQ458820 KSL458818:KSM458820 LCH458818:LCI458820 LMD458818:LME458820 LVZ458818:LWA458820 MFV458818:MFW458820 MPR458818:MPS458820 MZN458818:MZO458820 NJJ458818:NJK458820 NTF458818:NTG458820 ODB458818:ODC458820 OMX458818:OMY458820 OWT458818:OWU458820 PGP458818:PGQ458820 PQL458818:PQM458820 QAH458818:QAI458820 QKD458818:QKE458820 QTZ458818:QUA458820 RDV458818:RDW458820 RNR458818:RNS458820 RXN458818:RXO458820 SHJ458818:SHK458820 SRF458818:SRG458820 TBB458818:TBC458820 TKX458818:TKY458820 TUT458818:TUU458820 UEP458818:UEQ458820 UOL458818:UOM458820 UYH458818:UYI458820 VID458818:VIE458820 VRZ458818:VSA458820 WBV458818:WBW458820 WLR458818:WLS458820 WVN458818:WVO458820 F524354:G524356 JB524354:JC524356 SX524354:SY524356 ACT524354:ACU524356 AMP524354:AMQ524356 AWL524354:AWM524356 BGH524354:BGI524356 BQD524354:BQE524356 BZZ524354:CAA524356 CJV524354:CJW524356 CTR524354:CTS524356 DDN524354:DDO524356 DNJ524354:DNK524356 DXF524354:DXG524356 EHB524354:EHC524356 EQX524354:EQY524356 FAT524354:FAU524356 FKP524354:FKQ524356 FUL524354:FUM524356 GEH524354:GEI524356 GOD524354:GOE524356 GXZ524354:GYA524356 HHV524354:HHW524356 HRR524354:HRS524356 IBN524354:IBO524356 ILJ524354:ILK524356 IVF524354:IVG524356 JFB524354:JFC524356 JOX524354:JOY524356 JYT524354:JYU524356 KIP524354:KIQ524356 KSL524354:KSM524356 LCH524354:LCI524356 LMD524354:LME524356 LVZ524354:LWA524356 MFV524354:MFW524356 MPR524354:MPS524356 MZN524354:MZO524356 NJJ524354:NJK524356 NTF524354:NTG524356 ODB524354:ODC524356 OMX524354:OMY524356 OWT524354:OWU524356 PGP524354:PGQ524356 PQL524354:PQM524356 QAH524354:QAI524356 QKD524354:QKE524356 QTZ524354:QUA524356 RDV524354:RDW524356 RNR524354:RNS524356 RXN524354:RXO524356 SHJ524354:SHK524356 SRF524354:SRG524356 TBB524354:TBC524356 TKX524354:TKY524356 TUT524354:TUU524356 UEP524354:UEQ524356 UOL524354:UOM524356 UYH524354:UYI524356 VID524354:VIE524356 VRZ524354:VSA524356 WBV524354:WBW524356 WLR524354:WLS524356 WVN524354:WVO524356 F589890:G589892 JB589890:JC589892 SX589890:SY589892 ACT589890:ACU589892 AMP589890:AMQ589892 AWL589890:AWM589892 BGH589890:BGI589892 BQD589890:BQE589892 BZZ589890:CAA589892 CJV589890:CJW589892 CTR589890:CTS589892 DDN589890:DDO589892 DNJ589890:DNK589892 DXF589890:DXG589892 EHB589890:EHC589892 EQX589890:EQY589892 FAT589890:FAU589892 FKP589890:FKQ589892 FUL589890:FUM589892 GEH589890:GEI589892 GOD589890:GOE589892 GXZ589890:GYA589892 HHV589890:HHW589892 HRR589890:HRS589892 IBN589890:IBO589892 ILJ589890:ILK589892 IVF589890:IVG589892 JFB589890:JFC589892 JOX589890:JOY589892 JYT589890:JYU589892 KIP589890:KIQ589892 KSL589890:KSM589892 LCH589890:LCI589892 LMD589890:LME589892 LVZ589890:LWA589892 MFV589890:MFW589892 MPR589890:MPS589892 MZN589890:MZO589892 NJJ589890:NJK589892 NTF589890:NTG589892 ODB589890:ODC589892 OMX589890:OMY589892 OWT589890:OWU589892 PGP589890:PGQ589892 PQL589890:PQM589892 QAH589890:QAI589892 QKD589890:QKE589892 QTZ589890:QUA589892 RDV589890:RDW589892 RNR589890:RNS589892 RXN589890:RXO589892 SHJ589890:SHK589892 SRF589890:SRG589892 TBB589890:TBC589892 TKX589890:TKY589892 TUT589890:TUU589892 UEP589890:UEQ589892 UOL589890:UOM589892 UYH589890:UYI589892 VID589890:VIE589892 VRZ589890:VSA589892 WBV589890:WBW589892 WLR589890:WLS589892 WVN589890:WVO589892 F655426:G655428 JB655426:JC655428 SX655426:SY655428 ACT655426:ACU655428 AMP655426:AMQ655428 AWL655426:AWM655428 BGH655426:BGI655428 BQD655426:BQE655428 BZZ655426:CAA655428 CJV655426:CJW655428 CTR655426:CTS655428 DDN655426:DDO655428 DNJ655426:DNK655428 DXF655426:DXG655428 EHB655426:EHC655428 EQX655426:EQY655428 FAT655426:FAU655428 FKP655426:FKQ655428 FUL655426:FUM655428 GEH655426:GEI655428 GOD655426:GOE655428 GXZ655426:GYA655428 HHV655426:HHW655428 HRR655426:HRS655428 IBN655426:IBO655428 ILJ655426:ILK655428 IVF655426:IVG655428 JFB655426:JFC655428 JOX655426:JOY655428 JYT655426:JYU655428 KIP655426:KIQ655428 KSL655426:KSM655428 LCH655426:LCI655428 LMD655426:LME655428 LVZ655426:LWA655428 MFV655426:MFW655428 MPR655426:MPS655428 MZN655426:MZO655428 NJJ655426:NJK655428 NTF655426:NTG655428 ODB655426:ODC655428 OMX655426:OMY655428 OWT655426:OWU655428 PGP655426:PGQ655428 PQL655426:PQM655428 QAH655426:QAI655428 QKD655426:QKE655428 QTZ655426:QUA655428 RDV655426:RDW655428 RNR655426:RNS655428 RXN655426:RXO655428 SHJ655426:SHK655428 SRF655426:SRG655428 TBB655426:TBC655428 TKX655426:TKY655428 TUT655426:TUU655428 UEP655426:UEQ655428 UOL655426:UOM655428 UYH655426:UYI655428 VID655426:VIE655428 VRZ655426:VSA655428 WBV655426:WBW655428 WLR655426:WLS655428 WVN655426:WVO655428 F720962:G720964 JB720962:JC720964 SX720962:SY720964 ACT720962:ACU720964 AMP720962:AMQ720964 AWL720962:AWM720964 BGH720962:BGI720964 BQD720962:BQE720964 BZZ720962:CAA720964 CJV720962:CJW720964 CTR720962:CTS720964 DDN720962:DDO720964 DNJ720962:DNK720964 DXF720962:DXG720964 EHB720962:EHC720964 EQX720962:EQY720964 FAT720962:FAU720964 FKP720962:FKQ720964 FUL720962:FUM720964 GEH720962:GEI720964 GOD720962:GOE720964 GXZ720962:GYA720964 HHV720962:HHW720964 HRR720962:HRS720964 IBN720962:IBO720964 ILJ720962:ILK720964 IVF720962:IVG720964 JFB720962:JFC720964 JOX720962:JOY720964 JYT720962:JYU720964 KIP720962:KIQ720964 KSL720962:KSM720964 LCH720962:LCI720964 LMD720962:LME720964 LVZ720962:LWA720964 MFV720962:MFW720964 MPR720962:MPS720964 MZN720962:MZO720964 NJJ720962:NJK720964 NTF720962:NTG720964 ODB720962:ODC720964 OMX720962:OMY720964 OWT720962:OWU720964 PGP720962:PGQ720964 PQL720962:PQM720964 QAH720962:QAI720964 QKD720962:QKE720964 QTZ720962:QUA720964 RDV720962:RDW720964 RNR720962:RNS720964 RXN720962:RXO720964 SHJ720962:SHK720964 SRF720962:SRG720964 TBB720962:TBC720964 TKX720962:TKY720964 TUT720962:TUU720964 UEP720962:UEQ720964 UOL720962:UOM720964 UYH720962:UYI720964 VID720962:VIE720964 VRZ720962:VSA720964 WBV720962:WBW720964 WLR720962:WLS720964 WVN720962:WVO720964 F786498:G786500 JB786498:JC786500 SX786498:SY786500 ACT786498:ACU786500 AMP786498:AMQ786500 AWL786498:AWM786500 BGH786498:BGI786500 BQD786498:BQE786500 BZZ786498:CAA786500 CJV786498:CJW786500 CTR786498:CTS786500 DDN786498:DDO786500 DNJ786498:DNK786500 DXF786498:DXG786500 EHB786498:EHC786500 EQX786498:EQY786500 FAT786498:FAU786500 FKP786498:FKQ786500 FUL786498:FUM786500 GEH786498:GEI786500 GOD786498:GOE786500 GXZ786498:GYA786500 HHV786498:HHW786500 HRR786498:HRS786500 IBN786498:IBO786500 ILJ786498:ILK786500 IVF786498:IVG786500 JFB786498:JFC786500 JOX786498:JOY786500 JYT786498:JYU786500 KIP786498:KIQ786500 KSL786498:KSM786500 LCH786498:LCI786500 LMD786498:LME786500 LVZ786498:LWA786500 MFV786498:MFW786500 MPR786498:MPS786500 MZN786498:MZO786500 NJJ786498:NJK786500 NTF786498:NTG786500 ODB786498:ODC786500 OMX786498:OMY786500 OWT786498:OWU786500 PGP786498:PGQ786500 PQL786498:PQM786500 QAH786498:QAI786500 QKD786498:QKE786500 QTZ786498:QUA786500 RDV786498:RDW786500 RNR786498:RNS786500 RXN786498:RXO786500 SHJ786498:SHK786500 SRF786498:SRG786500 TBB786498:TBC786500 TKX786498:TKY786500 TUT786498:TUU786500 UEP786498:UEQ786500 UOL786498:UOM786500 UYH786498:UYI786500 VID786498:VIE786500 VRZ786498:VSA786500 WBV786498:WBW786500 WLR786498:WLS786500 WVN786498:WVO786500 F852034:G852036 JB852034:JC852036 SX852034:SY852036 ACT852034:ACU852036 AMP852034:AMQ852036 AWL852034:AWM852036 BGH852034:BGI852036 BQD852034:BQE852036 BZZ852034:CAA852036 CJV852034:CJW852036 CTR852034:CTS852036 DDN852034:DDO852036 DNJ852034:DNK852036 DXF852034:DXG852036 EHB852034:EHC852036 EQX852034:EQY852036 FAT852034:FAU852036 FKP852034:FKQ852036 FUL852034:FUM852036 GEH852034:GEI852036 GOD852034:GOE852036 GXZ852034:GYA852036 HHV852034:HHW852036 HRR852034:HRS852036 IBN852034:IBO852036 ILJ852034:ILK852036 IVF852034:IVG852036 JFB852034:JFC852036 JOX852034:JOY852036 JYT852034:JYU852036 KIP852034:KIQ852036 KSL852034:KSM852036 LCH852034:LCI852036 LMD852034:LME852036 LVZ852034:LWA852036 MFV852034:MFW852036 MPR852034:MPS852036 MZN852034:MZO852036 NJJ852034:NJK852036 NTF852034:NTG852036 ODB852034:ODC852036 OMX852034:OMY852036 OWT852034:OWU852036 PGP852034:PGQ852036 PQL852034:PQM852036 QAH852034:QAI852036 QKD852034:QKE852036 QTZ852034:QUA852036 RDV852034:RDW852036 RNR852034:RNS852036 RXN852034:RXO852036 SHJ852034:SHK852036 SRF852034:SRG852036 TBB852034:TBC852036 TKX852034:TKY852036 TUT852034:TUU852036 UEP852034:UEQ852036 UOL852034:UOM852036 UYH852034:UYI852036 VID852034:VIE852036 VRZ852034:VSA852036 WBV852034:WBW852036 WLR852034:WLS852036 WVN852034:WVO852036 F917570:G917572 JB917570:JC917572 SX917570:SY917572 ACT917570:ACU917572 AMP917570:AMQ917572 AWL917570:AWM917572 BGH917570:BGI917572 BQD917570:BQE917572 BZZ917570:CAA917572 CJV917570:CJW917572 CTR917570:CTS917572 DDN917570:DDO917572 DNJ917570:DNK917572 DXF917570:DXG917572 EHB917570:EHC917572 EQX917570:EQY917572 FAT917570:FAU917572 FKP917570:FKQ917572 FUL917570:FUM917572 GEH917570:GEI917572 GOD917570:GOE917572 GXZ917570:GYA917572 HHV917570:HHW917572 HRR917570:HRS917572 IBN917570:IBO917572 ILJ917570:ILK917572 IVF917570:IVG917572 JFB917570:JFC917572 JOX917570:JOY917572 JYT917570:JYU917572 KIP917570:KIQ917572 KSL917570:KSM917572 LCH917570:LCI917572 LMD917570:LME917572 LVZ917570:LWA917572 MFV917570:MFW917572 MPR917570:MPS917572 MZN917570:MZO917572 NJJ917570:NJK917572 NTF917570:NTG917572 ODB917570:ODC917572 OMX917570:OMY917572 OWT917570:OWU917572 PGP917570:PGQ917572 PQL917570:PQM917572 QAH917570:QAI917572 QKD917570:QKE917572 QTZ917570:QUA917572 RDV917570:RDW917572 RNR917570:RNS917572 RXN917570:RXO917572 SHJ917570:SHK917572 SRF917570:SRG917572 TBB917570:TBC917572 TKX917570:TKY917572 TUT917570:TUU917572 UEP917570:UEQ917572 UOL917570:UOM917572 UYH917570:UYI917572 VID917570:VIE917572 VRZ917570:VSA917572 WBV917570:WBW917572 WLR917570:WLS917572 WVN917570:WVO917572 F983106:G983108 JB983106:JC983108 SX983106:SY983108 ACT983106:ACU983108 AMP983106:AMQ983108 AWL983106:AWM983108 BGH983106:BGI983108 BQD983106:BQE983108 BZZ983106:CAA983108 CJV983106:CJW983108 CTR983106:CTS983108 DDN983106:DDO983108 DNJ983106:DNK983108 DXF983106:DXG983108 EHB983106:EHC983108 EQX983106:EQY983108 FAT983106:FAU983108 FKP983106:FKQ983108 FUL983106:FUM983108 GEH983106:GEI983108 GOD983106:GOE983108 GXZ983106:GYA983108 HHV983106:HHW983108 HRR983106:HRS983108 IBN983106:IBO983108 ILJ983106:ILK983108 IVF983106:IVG983108 JFB983106:JFC983108 JOX983106:JOY983108 JYT983106:JYU983108 KIP983106:KIQ983108 KSL983106:KSM983108 LCH983106:LCI983108 LMD983106:LME983108 LVZ983106:LWA983108 MFV983106:MFW983108 MPR983106:MPS983108 MZN983106:MZO983108 NJJ983106:NJK983108 NTF983106:NTG983108 ODB983106:ODC983108 OMX983106:OMY983108 OWT983106:OWU983108 PGP983106:PGQ983108 PQL983106:PQM983108 QAH983106:QAI983108 QKD983106:QKE983108 QTZ983106:QUA983108 RDV983106:RDW983108 RNR983106:RNS983108 RXN983106:RXO983108 SHJ983106:SHK983108 SRF983106:SRG983108 TBB983106:TBC983108 TKX983106:TKY983108 TUT983106:TUU983108 UEP983106:UEQ983108 UOL983106:UOM983108 UYH983106:UYI983108 VID983106:VIE983108 VRZ983106:VSA983108 WBV983106:WBW983108 WLR983106:WLS983108 WVN983106:WVO983108 E71:F71 JA71:JB71 SW71:SX71 ACS71:ACT71 AMO71:AMP71 AWK71:AWL71 BGG71:BGH71 BQC71:BQD71 BZY71:BZZ71 CJU71:CJV71 CTQ71:CTR71 DDM71:DDN71 DNI71:DNJ71 DXE71:DXF71 EHA71:EHB71 EQW71:EQX71 FAS71:FAT71 FKO71:FKP71 FUK71:FUL71 GEG71:GEH71 GOC71:GOD71 GXY71:GXZ71 HHU71:HHV71 HRQ71:HRR71 IBM71:IBN71 ILI71:ILJ71 IVE71:IVF71 JFA71:JFB71 JOW71:JOX71 JYS71:JYT71 KIO71:KIP71 KSK71:KSL71 LCG71:LCH71 LMC71:LMD71 LVY71:LVZ71 MFU71:MFV71 MPQ71:MPR71 MZM71:MZN71 NJI71:NJJ71 NTE71:NTF71 ODA71:ODB71 OMW71:OMX71 OWS71:OWT71 PGO71:PGP71 PQK71:PQL71 QAG71:QAH71 QKC71:QKD71 QTY71:QTZ71 RDU71:RDV71 RNQ71:RNR71 RXM71:RXN71 SHI71:SHJ71 SRE71:SRF71 TBA71:TBB71 TKW71:TKX71 TUS71:TUT71 UEO71:UEP71 UOK71:UOL71 UYG71:UYH71 VIC71:VID71 VRY71:VRZ71 WBU71:WBV71 WLQ71:WLR71 WVM71:WVN71 E65607:F65607 JA65607:JB65607 SW65607:SX65607 ACS65607:ACT65607 AMO65607:AMP65607 AWK65607:AWL65607 BGG65607:BGH65607 BQC65607:BQD65607 BZY65607:BZZ65607 CJU65607:CJV65607 CTQ65607:CTR65607 DDM65607:DDN65607 DNI65607:DNJ65607 DXE65607:DXF65607 EHA65607:EHB65607 EQW65607:EQX65607 FAS65607:FAT65607 FKO65607:FKP65607 FUK65607:FUL65607 GEG65607:GEH65607 GOC65607:GOD65607 GXY65607:GXZ65607 HHU65607:HHV65607 HRQ65607:HRR65607 IBM65607:IBN65607 ILI65607:ILJ65607 IVE65607:IVF65607 JFA65607:JFB65607 JOW65607:JOX65607 JYS65607:JYT65607 KIO65607:KIP65607 KSK65607:KSL65607 LCG65607:LCH65607 LMC65607:LMD65607 LVY65607:LVZ65607 MFU65607:MFV65607 MPQ65607:MPR65607 MZM65607:MZN65607 NJI65607:NJJ65607 NTE65607:NTF65607 ODA65607:ODB65607 OMW65607:OMX65607 OWS65607:OWT65607 PGO65607:PGP65607 PQK65607:PQL65607 QAG65607:QAH65607 QKC65607:QKD65607 QTY65607:QTZ65607 RDU65607:RDV65607 RNQ65607:RNR65607 RXM65607:RXN65607 SHI65607:SHJ65607 SRE65607:SRF65607 TBA65607:TBB65607 TKW65607:TKX65607 TUS65607:TUT65607 UEO65607:UEP65607 UOK65607:UOL65607 UYG65607:UYH65607 VIC65607:VID65607 VRY65607:VRZ65607 WBU65607:WBV65607 WLQ65607:WLR65607 WVM65607:WVN65607 E131143:F131143 JA131143:JB131143 SW131143:SX131143 ACS131143:ACT131143 AMO131143:AMP131143 AWK131143:AWL131143 BGG131143:BGH131143 BQC131143:BQD131143 BZY131143:BZZ131143 CJU131143:CJV131143 CTQ131143:CTR131143 DDM131143:DDN131143 DNI131143:DNJ131143 DXE131143:DXF131143 EHA131143:EHB131143 EQW131143:EQX131143 FAS131143:FAT131143 FKO131143:FKP131143 FUK131143:FUL131143 GEG131143:GEH131143 GOC131143:GOD131143 GXY131143:GXZ131143 HHU131143:HHV131143 HRQ131143:HRR131143 IBM131143:IBN131143 ILI131143:ILJ131143 IVE131143:IVF131143 JFA131143:JFB131143 JOW131143:JOX131143 JYS131143:JYT131143 KIO131143:KIP131143 KSK131143:KSL131143 LCG131143:LCH131143 LMC131143:LMD131143 LVY131143:LVZ131143 MFU131143:MFV131143 MPQ131143:MPR131143 MZM131143:MZN131143 NJI131143:NJJ131143 NTE131143:NTF131143 ODA131143:ODB131143 OMW131143:OMX131143 OWS131143:OWT131143 PGO131143:PGP131143 PQK131143:PQL131143 QAG131143:QAH131143 QKC131143:QKD131143 QTY131143:QTZ131143 RDU131143:RDV131143 RNQ131143:RNR131143 RXM131143:RXN131143 SHI131143:SHJ131143 SRE131143:SRF131143 TBA131143:TBB131143 TKW131143:TKX131143 TUS131143:TUT131143 UEO131143:UEP131143 UOK131143:UOL131143 UYG131143:UYH131143 VIC131143:VID131143 VRY131143:VRZ131143 WBU131143:WBV131143 WLQ131143:WLR131143 WVM131143:WVN131143 E196679:F196679 JA196679:JB196679 SW196679:SX196679 ACS196679:ACT196679 AMO196679:AMP196679 AWK196679:AWL196679 BGG196679:BGH196679 BQC196679:BQD196679 BZY196679:BZZ196679 CJU196679:CJV196679 CTQ196679:CTR196679 DDM196679:DDN196679 DNI196679:DNJ196679 DXE196679:DXF196679 EHA196679:EHB196679 EQW196679:EQX196679 FAS196679:FAT196679 FKO196679:FKP196679 FUK196679:FUL196679 GEG196679:GEH196679 GOC196679:GOD196679 GXY196679:GXZ196679 HHU196679:HHV196679 HRQ196679:HRR196679 IBM196679:IBN196679 ILI196679:ILJ196679 IVE196679:IVF196679 JFA196679:JFB196679 JOW196679:JOX196679 JYS196679:JYT196679 KIO196679:KIP196679 KSK196679:KSL196679 LCG196679:LCH196679 LMC196679:LMD196679 LVY196679:LVZ196679 MFU196679:MFV196679 MPQ196679:MPR196679 MZM196679:MZN196679 NJI196679:NJJ196679 NTE196679:NTF196679 ODA196679:ODB196679 OMW196679:OMX196679 OWS196679:OWT196679 PGO196679:PGP196679 PQK196679:PQL196679 QAG196679:QAH196679 QKC196679:QKD196679 QTY196679:QTZ196679 RDU196679:RDV196679 RNQ196679:RNR196679 RXM196679:RXN196679 SHI196679:SHJ196679 SRE196679:SRF196679 TBA196679:TBB196679 TKW196679:TKX196679 TUS196679:TUT196679 UEO196679:UEP196679 UOK196679:UOL196679 UYG196679:UYH196679 VIC196679:VID196679 VRY196679:VRZ196679 WBU196679:WBV196679 WLQ196679:WLR196679 WVM196679:WVN196679 E262215:F262215 JA262215:JB262215 SW262215:SX262215 ACS262215:ACT262215 AMO262215:AMP262215 AWK262215:AWL262215 BGG262215:BGH262215 BQC262215:BQD262215 BZY262215:BZZ262215 CJU262215:CJV262215 CTQ262215:CTR262215 DDM262215:DDN262215 DNI262215:DNJ262215 DXE262215:DXF262215 EHA262215:EHB262215 EQW262215:EQX262215 FAS262215:FAT262215 FKO262215:FKP262215 FUK262215:FUL262215 GEG262215:GEH262215 GOC262215:GOD262215 GXY262215:GXZ262215 HHU262215:HHV262215 HRQ262215:HRR262215 IBM262215:IBN262215 ILI262215:ILJ262215 IVE262215:IVF262215 JFA262215:JFB262215 JOW262215:JOX262215 JYS262215:JYT262215 KIO262215:KIP262215 KSK262215:KSL262215 LCG262215:LCH262215 LMC262215:LMD262215 LVY262215:LVZ262215 MFU262215:MFV262215 MPQ262215:MPR262215 MZM262215:MZN262215 NJI262215:NJJ262215 NTE262215:NTF262215 ODA262215:ODB262215 OMW262215:OMX262215 OWS262215:OWT262215 PGO262215:PGP262215 PQK262215:PQL262215 QAG262215:QAH262215 QKC262215:QKD262215 QTY262215:QTZ262215 RDU262215:RDV262215 RNQ262215:RNR262215 RXM262215:RXN262215 SHI262215:SHJ262215 SRE262215:SRF262215 TBA262215:TBB262215 TKW262215:TKX262215 TUS262215:TUT262215 UEO262215:UEP262215 UOK262215:UOL262215 UYG262215:UYH262215 VIC262215:VID262215 VRY262215:VRZ262215 WBU262215:WBV262215 WLQ262215:WLR262215 WVM262215:WVN262215 E327751:F327751 JA327751:JB327751 SW327751:SX327751 ACS327751:ACT327751 AMO327751:AMP327751 AWK327751:AWL327751 BGG327751:BGH327751 BQC327751:BQD327751 BZY327751:BZZ327751 CJU327751:CJV327751 CTQ327751:CTR327751 DDM327751:DDN327751 DNI327751:DNJ327751 DXE327751:DXF327751 EHA327751:EHB327751 EQW327751:EQX327751 FAS327751:FAT327751 FKO327751:FKP327751 FUK327751:FUL327751 GEG327751:GEH327751 GOC327751:GOD327751 GXY327751:GXZ327751 HHU327751:HHV327751 HRQ327751:HRR327751 IBM327751:IBN327751 ILI327751:ILJ327751 IVE327751:IVF327751 JFA327751:JFB327751 JOW327751:JOX327751 JYS327751:JYT327751 KIO327751:KIP327751 KSK327751:KSL327751 LCG327751:LCH327751 LMC327751:LMD327751 LVY327751:LVZ327751 MFU327751:MFV327751 MPQ327751:MPR327751 MZM327751:MZN327751 NJI327751:NJJ327751 NTE327751:NTF327751 ODA327751:ODB327751 OMW327751:OMX327751 OWS327751:OWT327751 PGO327751:PGP327751 PQK327751:PQL327751 QAG327751:QAH327751 QKC327751:QKD327751 QTY327751:QTZ327751 RDU327751:RDV327751 RNQ327751:RNR327751 RXM327751:RXN327751 SHI327751:SHJ327751 SRE327751:SRF327751 TBA327751:TBB327751 TKW327751:TKX327751 TUS327751:TUT327751 UEO327751:UEP327751 UOK327751:UOL327751 UYG327751:UYH327751 VIC327751:VID327751 VRY327751:VRZ327751 WBU327751:WBV327751 WLQ327751:WLR327751 WVM327751:WVN327751 E393287:F393287 JA393287:JB393287 SW393287:SX393287 ACS393287:ACT393287 AMO393287:AMP393287 AWK393287:AWL393287 BGG393287:BGH393287 BQC393287:BQD393287 BZY393287:BZZ393287 CJU393287:CJV393287 CTQ393287:CTR393287 DDM393287:DDN393287 DNI393287:DNJ393287 DXE393287:DXF393287 EHA393287:EHB393287 EQW393287:EQX393287 FAS393287:FAT393287 FKO393287:FKP393287 FUK393287:FUL393287 GEG393287:GEH393287 GOC393287:GOD393287 GXY393287:GXZ393287 HHU393287:HHV393287 HRQ393287:HRR393287 IBM393287:IBN393287 ILI393287:ILJ393287 IVE393287:IVF393287 JFA393287:JFB393287 JOW393287:JOX393287 JYS393287:JYT393287 KIO393287:KIP393287 KSK393287:KSL393287 LCG393287:LCH393287 LMC393287:LMD393287 LVY393287:LVZ393287 MFU393287:MFV393287 MPQ393287:MPR393287 MZM393287:MZN393287 NJI393287:NJJ393287 NTE393287:NTF393287 ODA393287:ODB393287 OMW393287:OMX393287 OWS393287:OWT393287 PGO393287:PGP393287 PQK393287:PQL393287 QAG393287:QAH393287 QKC393287:QKD393287 QTY393287:QTZ393287 RDU393287:RDV393287 RNQ393287:RNR393287 RXM393287:RXN393287 SHI393287:SHJ393287 SRE393287:SRF393287 TBA393287:TBB393287 TKW393287:TKX393287 TUS393287:TUT393287 UEO393287:UEP393287 UOK393287:UOL393287 UYG393287:UYH393287 VIC393287:VID393287 VRY393287:VRZ393287 WBU393287:WBV393287 WLQ393287:WLR393287 WVM393287:WVN393287 E458823:F458823 JA458823:JB458823 SW458823:SX458823 ACS458823:ACT458823 AMO458823:AMP458823 AWK458823:AWL458823 BGG458823:BGH458823 BQC458823:BQD458823 BZY458823:BZZ458823 CJU458823:CJV458823 CTQ458823:CTR458823 DDM458823:DDN458823 DNI458823:DNJ458823 DXE458823:DXF458823 EHA458823:EHB458823 EQW458823:EQX458823 FAS458823:FAT458823 FKO458823:FKP458823 FUK458823:FUL458823 GEG458823:GEH458823 GOC458823:GOD458823 GXY458823:GXZ458823 HHU458823:HHV458823 HRQ458823:HRR458823 IBM458823:IBN458823 ILI458823:ILJ458823 IVE458823:IVF458823 JFA458823:JFB458823 JOW458823:JOX458823 JYS458823:JYT458823 KIO458823:KIP458823 KSK458823:KSL458823 LCG458823:LCH458823 LMC458823:LMD458823 LVY458823:LVZ458823 MFU458823:MFV458823 MPQ458823:MPR458823 MZM458823:MZN458823 NJI458823:NJJ458823 NTE458823:NTF458823 ODA458823:ODB458823 OMW458823:OMX458823 OWS458823:OWT458823 PGO458823:PGP458823 PQK458823:PQL458823 QAG458823:QAH458823 QKC458823:QKD458823 QTY458823:QTZ458823 RDU458823:RDV458823 RNQ458823:RNR458823 RXM458823:RXN458823 SHI458823:SHJ458823 SRE458823:SRF458823 TBA458823:TBB458823 TKW458823:TKX458823 TUS458823:TUT458823 UEO458823:UEP458823 UOK458823:UOL458823 UYG458823:UYH458823 VIC458823:VID458823 VRY458823:VRZ458823 WBU458823:WBV458823 WLQ458823:WLR458823 WVM458823:WVN458823 E524359:F524359 JA524359:JB524359 SW524359:SX524359 ACS524359:ACT524359 AMO524359:AMP524359 AWK524359:AWL524359 BGG524359:BGH524359 BQC524359:BQD524359 BZY524359:BZZ524359 CJU524359:CJV524359 CTQ524359:CTR524359 DDM524359:DDN524359 DNI524359:DNJ524359 DXE524359:DXF524359 EHA524359:EHB524359 EQW524359:EQX524359 FAS524359:FAT524359 FKO524359:FKP524359 FUK524359:FUL524359 GEG524359:GEH524359 GOC524359:GOD524359 GXY524359:GXZ524359 HHU524359:HHV524359 HRQ524359:HRR524359 IBM524359:IBN524359 ILI524359:ILJ524359 IVE524359:IVF524359 JFA524359:JFB524359 JOW524359:JOX524359 JYS524359:JYT524359 KIO524359:KIP524359 KSK524359:KSL524359 LCG524359:LCH524359 LMC524359:LMD524359 LVY524359:LVZ524359 MFU524359:MFV524359 MPQ524359:MPR524359 MZM524359:MZN524359 NJI524359:NJJ524359 NTE524359:NTF524359 ODA524359:ODB524359 OMW524359:OMX524359 OWS524359:OWT524359 PGO524359:PGP524359 PQK524359:PQL524359 QAG524359:QAH524359 QKC524359:QKD524359 QTY524359:QTZ524359 RDU524359:RDV524359 RNQ524359:RNR524359 RXM524359:RXN524359 SHI524359:SHJ524359 SRE524359:SRF524359 TBA524359:TBB524359 TKW524359:TKX524359 TUS524359:TUT524359 UEO524359:UEP524359 UOK524359:UOL524359 UYG524359:UYH524359 VIC524359:VID524359 VRY524359:VRZ524359 WBU524359:WBV524359 WLQ524359:WLR524359 WVM524359:WVN524359 E589895:F589895 JA589895:JB589895 SW589895:SX589895 ACS589895:ACT589895 AMO589895:AMP589895 AWK589895:AWL589895 BGG589895:BGH589895 BQC589895:BQD589895 BZY589895:BZZ589895 CJU589895:CJV589895 CTQ589895:CTR589895 DDM589895:DDN589895 DNI589895:DNJ589895 DXE589895:DXF589895 EHA589895:EHB589895 EQW589895:EQX589895 FAS589895:FAT589895 FKO589895:FKP589895 FUK589895:FUL589895 GEG589895:GEH589895 GOC589895:GOD589895 GXY589895:GXZ589895 HHU589895:HHV589895 HRQ589895:HRR589895 IBM589895:IBN589895 ILI589895:ILJ589895 IVE589895:IVF589895 JFA589895:JFB589895 JOW589895:JOX589895 JYS589895:JYT589895 KIO589895:KIP589895 KSK589895:KSL589895 LCG589895:LCH589895 LMC589895:LMD589895 LVY589895:LVZ589895 MFU589895:MFV589895 MPQ589895:MPR589895 MZM589895:MZN589895 NJI589895:NJJ589895 NTE589895:NTF589895 ODA589895:ODB589895 OMW589895:OMX589895 OWS589895:OWT589895 PGO589895:PGP589895 PQK589895:PQL589895 QAG589895:QAH589895 QKC589895:QKD589895 QTY589895:QTZ589895 RDU589895:RDV589895 RNQ589895:RNR589895 RXM589895:RXN589895 SHI589895:SHJ589895 SRE589895:SRF589895 TBA589895:TBB589895 TKW589895:TKX589895 TUS589895:TUT589895 UEO589895:UEP589895 UOK589895:UOL589895 UYG589895:UYH589895 VIC589895:VID589895 VRY589895:VRZ589895 WBU589895:WBV589895 WLQ589895:WLR589895 WVM589895:WVN589895 E655431:F655431 JA655431:JB655431 SW655431:SX655431 ACS655431:ACT655431 AMO655431:AMP655431 AWK655431:AWL655431 BGG655431:BGH655431 BQC655431:BQD655431 BZY655431:BZZ655431 CJU655431:CJV655431 CTQ655431:CTR655431 DDM655431:DDN655431 DNI655431:DNJ655431 DXE655431:DXF655431 EHA655431:EHB655431 EQW655431:EQX655431 FAS655431:FAT655431 FKO655431:FKP655431 FUK655431:FUL655431 GEG655431:GEH655431 GOC655431:GOD655431 GXY655431:GXZ655431 HHU655431:HHV655431 HRQ655431:HRR655431 IBM655431:IBN655431 ILI655431:ILJ655431 IVE655431:IVF655431 JFA655431:JFB655431 JOW655431:JOX655431 JYS655431:JYT655431 KIO655431:KIP655431 KSK655431:KSL655431 LCG655431:LCH655431 LMC655431:LMD655431 LVY655431:LVZ655431 MFU655431:MFV655431 MPQ655431:MPR655431 MZM655431:MZN655431 NJI655431:NJJ655431 NTE655431:NTF655431 ODA655431:ODB655431 OMW655431:OMX655431 OWS655431:OWT655431 PGO655431:PGP655431 PQK655431:PQL655431 QAG655431:QAH655431 QKC655431:QKD655431 QTY655431:QTZ655431 RDU655431:RDV655431 RNQ655431:RNR655431 RXM655431:RXN655431 SHI655431:SHJ655431 SRE655431:SRF655431 TBA655431:TBB655431 TKW655431:TKX655431 TUS655431:TUT655431 UEO655431:UEP655431 UOK655431:UOL655431 UYG655431:UYH655431 VIC655431:VID655431 VRY655431:VRZ655431 WBU655431:WBV655431 WLQ655431:WLR655431 WVM655431:WVN655431 E720967:F720967 JA720967:JB720967 SW720967:SX720967 ACS720967:ACT720967 AMO720967:AMP720967 AWK720967:AWL720967 BGG720967:BGH720967 BQC720967:BQD720967 BZY720967:BZZ720967 CJU720967:CJV720967 CTQ720967:CTR720967 DDM720967:DDN720967 DNI720967:DNJ720967 DXE720967:DXF720967 EHA720967:EHB720967 EQW720967:EQX720967 FAS720967:FAT720967 FKO720967:FKP720967 FUK720967:FUL720967 GEG720967:GEH720967 GOC720967:GOD720967 GXY720967:GXZ720967 HHU720967:HHV720967 HRQ720967:HRR720967 IBM720967:IBN720967 ILI720967:ILJ720967 IVE720967:IVF720967 JFA720967:JFB720967 JOW720967:JOX720967 JYS720967:JYT720967 KIO720967:KIP720967 KSK720967:KSL720967 LCG720967:LCH720967 LMC720967:LMD720967 LVY720967:LVZ720967 MFU720967:MFV720967 MPQ720967:MPR720967 MZM720967:MZN720967 NJI720967:NJJ720967 NTE720967:NTF720967 ODA720967:ODB720967 OMW720967:OMX720967 OWS720967:OWT720967 PGO720967:PGP720967 PQK720967:PQL720967 QAG720967:QAH720967 QKC720967:QKD720967 QTY720967:QTZ720967 RDU720967:RDV720967 RNQ720967:RNR720967 RXM720967:RXN720967 SHI720967:SHJ720967 SRE720967:SRF720967 TBA720967:TBB720967 TKW720967:TKX720967 TUS720967:TUT720967 UEO720967:UEP720967 UOK720967:UOL720967 UYG720967:UYH720967 VIC720967:VID720967 VRY720967:VRZ720967 WBU720967:WBV720967 WLQ720967:WLR720967 WVM720967:WVN720967 E786503:F786503 JA786503:JB786503 SW786503:SX786503 ACS786503:ACT786503 AMO786503:AMP786503 AWK786503:AWL786503 BGG786503:BGH786503 BQC786503:BQD786503 BZY786503:BZZ786503 CJU786503:CJV786503 CTQ786503:CTR786503 DDM786503:DDN786503 DNI786503:DNJ786503 DXE786503:DXF786503 EHA786503:EHB786503 EQW786503:EQX786503 FAS786503:FAT786503 FKO786503:FKP786503 FUK786503:FUL786503 GEG786503:GEH786503 GOC786503:GOD786503 GXY786503:GXZ786503 HHU786503:HHV786503 HRQ786503:HRR786503 IBM786503:IBN786503 ILI786503:ILJ786503 IVE786503:IVF786503 JFA786503:JFB786503 JOW786503:JOX786503 JYS786503:JYT786503 KIO786503:KIP786503 KSK786503:KSL786503 LCG786503:LCH786503 LMC786503:LMD786503 LVY786503:LVZ786503 MFU786503:MFV786503 MPQ786503:MPR786503 MZM786503:MZN786503 NJI786503:NJJ786503 NTE786503:NTF786503 ODA786503:ODB786503 OMW786503:OMX786503 OWS786503:OWT786503 PGO786503:PGP786503 PQK786503:PQL786503 QAG786503:QAH786503 QKC786503:QKD786503 QTY786503:QTZ786503 RDU786503:RDV786503 RNQ786503:RNR786503 RXM786503:RXN786503 SHI786503:SHJ786503 SRE786503:SRF786503 TBA786503:TBB786503 TKW786503:TKX786503 TUS786503:TUT786503 UEO786503:UEP786503 UOK786503:UOL786503 UYG786503:UYH786503 VIC786503:VID786503 VRY786503:VRZ786503 WBU786503:WBV786503 WLQ786503:WLR786503 WVM786503:WVN786503 E852039:F852039 JA852039:JB852039 SW852039:SX852039 ACS852039:ACT852039 AMO852039:AMP852039 AWK852039:AWL852039 BGG852039:BGH852039 BQC852039:BQD852039 BZY852039:BZZ852039 CJU852039:CJV852039 CTQ852039:CTR852039 DDM852039:DDN852039 DNI852039:DNJ852039 DXE852039:DXF852039 EHA852039:EHB852039 EQW852039:EQX852039 FAS852039:FAT852039 FKO852039:FKP852039 FUK852039:FUL852039 GEG852039:GEH852039 GOC852039:GOD852039 GXY852039:GXZ852039 HHU852039:HHV852039 HRQ852039:HRR852039 IBM852039:IBN852039 ILI852039:ILJ852039 IVE852039:IVF852039 JFA852039:JFB852039 JOW852039:JOX852039 JYS852039:JYT852039 KIO852039:KIP852039 KSK852039:KSL852039 LCG852039:LCH852039 LMC852039:LMD852039 LVY852039:LVZ852039 MFU852039:MFV852039 MPQ852039:MPR852039 MZM852039:MZN852039 NJI852039:NJJ852039 NTE852039:NTF852039 ODA852039:ODB852039 OMW852039:OMX852039 OWS852039:OWT852039 PGO852039:PGP852039 PQK852039:PQL852039 QAG852039:QAH852039 QKC852039:QKD852039 QTY852039:QTZ852039 RDU852039:RDV852039 RNQ852039:RNR852039 RXM852039:RXN852039 SHI852039:SHJ852039 SRE852039:SRF852039 TBA852039:TBB852039 TKW852039:TKX852039 TUS852039:TUT852039 UEO852039:UEP852039 UOK852039:UOL852039 UYG852039:UYH852039 VIC852039:VID852039 VRY852039:VRZ852039 WBU852039:WBV852039 WLQ852039:WLR852039 WVM852039:WVN852039 E917575:F917575 JA917575:JB917575 SW917575:SX917575 ACS917575:ACT917575 AMO917575:AMP917575 AWK917575:AWL917575 BGG917575:BGH917575 BQC917575:BQD917575 BZY917575:BZZ917575 CJU917575:CJV917575 CTQ917575:CTR917575 DDM917575:DDN917575 DNI917575:DNJ917575 DXE917575:DXF917575 EHA917575:EHB917575 EQW917575:EQX917575 FAS917575:FAT917575 FKO917575:FKP917575 FUK917575:FUL917575 GEG917575:GEH917575 GOC917575:GOD917575 GXY917575:GXZ917575 HHU917575:HHV917575 HRQ917575:HRR917575 IBM917575:IBN917575 ILI917575:ILJ917575 IVE917575:IVF917575 JFA917575:JFB917575 JOW917575:JOX917575 JYS917575:JYT917575 KIO917575:KIP917575 KSK917575:KSL917575 LCG917575:LCH917575 LMC917575:LMD917575 LVY917575:LVZ917575 MFU917575:MFV917575 MPQ917575:MPR917575 MZM917575:MZN917575 NJI917575:NJJ917575 NTE917575:NTF917575 ODA917575:ODB917575 OMW917575:OMX917575 OWS917575:OWT917575 PGO917575:PGP917575 PQK917575:PQL917575 QAG917575:QAH917575 QKC917575:QKD917575 QTY917575:QTZ917575 RDU917575:RDV917575 RNQ917575:RNR917575 RXM917575:RXN917575 SHI917575:SHJ917575 SRE917575:SRF917575 TBA917575:TBB917575 TKW917575:TKX917575 TUS917575:TUT917575 UEO917575:UEP917575 UOK917575:UOL917575 UYG917575:UYH917575 VIC917575:VID917575 VRY917575:VRZ917575 WBU917575:WBV917575 WLQ917575:WLR917575 WVM917575:WVN917575 E983111:F983111 JA983111:JB983111 SW983111:SX983111 ACS983111:ACT983111 AMO983111:AMP983111 AWK983111:AWL983111 BGG983111:BGH983111 BQC983111:BQD983111 BZY983111:BZZ983111 CJU983111:CJV983111 CTQ983111:CTR983111 DDM983111:DDN983111 DNI983111:DNJ983111 DXE983111:DXF983111 EHA983111:EHB983111 EQW983111:EQX983111 FAS983111:FAT983111 FKO983111:FKP983111 FUK983111:FUL983111 GEG983111:GEH983111 GOC983111:GOD983111 GXY983111:GXZ983111 HHU983111:HHV983111 HRQ983111:HRR983111 IBM983111:IBN983111 ILI983111:ILJ983111 IVE983111:IVF983111 JFA983111:JFB983111 JOW983111:JOX983111 JYS983111:JYT983111 KIO983111:KIP983111 KSK983111:KSL983111 LCG983111:LCH983111 LMC983111:LMD983111 LVY983111:LVZ983111 MFU983111:MFV983111 MPQ983111:MPR983111 MZM983111:MZN983111 NJI983111:NJJ983111 NTE983111:NTF983111 ODA983111:ODB983111 OMW983111:OMX983111 OWS983111:OWT983111 PGO983111:PGP983111 PQK983111:PQL983111 QAG983111:QAH983111 QKC983111:QKD983111 QTY983111:QTZ983111 RDU983111:RDV983111 RNQ983111:RNR983111 RXM983111:RXN983111 SHI983111:SHJ983111 SRE983111:SRF983111 TBA983111:TBB983111 TKW983111:TKX983111 TUS983111:TUT983111 UEO983111:UEP983111 UOK983111:UOL983111 UYG983111:UYH983111 VIC983111:VID983111 VRY983111:VRZ983111 WBU983111:WBV983111 WLQ983111:WLR983111 WVM983111:WVN983111 K71:M71 JG71:JI71 TC71:TE71 ACY71:ADA71 AMU71:AMW71 AWQ71:AWS71 BGM71:BGO71 BQI71:BQK71 CAE71:CAG71 CKA71:CKC71 CTW71:CTY71 DDS71:DDU71 DNO71:DNQ71 DXK71:DXM71 EHG71:EHI71 ERC71:ERE71 FAY71:FBA71 FKU71:FKW71 FUQ71:FUS71 GEM71:GEO71 GOI71:GOK71 GYE71:GYG71 HIA71:HIC71 HRW71:HRY71 IBS71:IBU71 ILO71:ILQ71 IVK71:IVM71 JFG71:JFI71 JPC71:JPE71 JYY71:JZA71 KIU71:KIW71 KSQ71:KSS71 LCM71:LCO71 LMI71:LMK71 LWE71:LWG71 MGA71:MGC71 MPW71:MPY71 MZS71:MZU71 NJO71:NJQ71 NTK71:NTM71 ODG71:ODI71 ONC71:ONE71 OWY71:OXA71 PGU71:PGW71 PQQ71:PQS71 QAM71:QAO71 QKI71:QKK71 QUE71:QUG71 REA71:REC71 RNW71:RNY71 RXS71:RXU71 SHO71:SHQ71 SRK71:SRM71 TBG71:TBI71 TLC71:TLE71 TUY71:TVA71 UEU71:UEW71 UOQ71:UOS71 UYM71:UYO71 VII71:VIK71 VSE71:VSG71 WCA71:WCC71 WLW71:WLY71 WVS71:WVU71 K65607:M65607 JG65607:JI65607 TC65607:TE65607 ACY65607:ADA65607 AMU65607:AMW65607 AWQ65607:AWS65607 BGM65607:BGO65607 BQI65607:BQK65607 CAE65607:CAG65607 CKA65607:CKC65607 CTW65607:CTY65607 DDS65607:DDU65607 DNO65607:DNQ65607 DXK65607:DXM65607 EHG65607:EHI65607 ERC65607:ERE65607 FAY65607:FBA65607 FKU65607:FKW65607 FUQ65607:FUS65607 GEM65607:GEO65607 GOI65607:GOK65607 GYE65607:GYG65607 HIA65607:HIC65607 HRW65607:HRY65607 IBS65607:IBU65607 ILO65607:ILQ65607 IVK65607:IVM65607 JFG65607:JFI65607 JPC65607:JPE65607 JYY65607:JZA65607 KIU65607:KIW65607 KSQ65607:KSS65607 LCM65607:LCO65607 LMI65607:LMK65607 LWE65607:LWG65607 MGA65607:MGC65607 MPW65607:MPY65607 MZS65607:MZU65607 NJO65607:NJQ65607 NTK65607:NTM65607 ODG65607:ODI65607 ONC65607:ONE65607 OWY65607:OXA65607 PGU65607:PGW65607 PQQ65607:PQS65607 QAM65607:QAO65607 QKI65607:QKK65607 QUE65607:QUG65607 REA65607:REC65607 RNW65607:RNY65607 RXS65607:RXU65607 SHO65607:SHQ65607 SRK65607:SRM65607 TBG65607:TBI65607 TLC65607:TLE65607 TUY65607:TVA65607 UEU65607:UEW65607 UOQ65607:UOS65607 UYM65607:UYO65607 VII65607:VIK65607 VSE65607:VSG65607 WCA65607:WCC65607 WLW65607:WLY65607 WVS65607:WVU65607 K131143:M131143 JG131143:JI131143 TC131143:TE131143 ACY131143:ADA131143 AMU131143:AMW131143 AWQ131143:AWS131143 BGM131143:BGO131143 BQI131143:BQK131143 CAE131143:CAG131143 CKA131143:CKC131143 CTW131143:CTY131143 DDS131143:DDU131143 DNO131143:DNQ131143 DXK131143:DXM131143 EHG131143:EHI131143 ERC131143:ERE131143 FAY131143:FBA131143 FKU131143:FKW131143 FUQ131143:FUS131143 GEM131143:GEO131143 GOI131143:GOK131143 GYE131143:GYG131143 HIA131143:HIC131143 HRW131143:HRY131143 IBS131143:IBU131143 ILO131143:ILQ131143 IVK131143:IVM131143 JFG131143:JFI131143 JPC131143:JPE131143 JYY131143:JZA131143 KIU131143:KIW131143 KSQ131143:KSS131143 LCM131143:LCO131143 LMI131143:LMK131143 LWE131143:LWG131143 MGA131143:MGC131143 MPW131143:MPY131143 MZS131143:MZU131143 NJO131143:NJQ131143 NTK131143:NTM131143 ODG131143:ODI131143 ONC131143:ONE131143 OWY131143:OXA131143 PGU131143:PGW131143 PQQ131143:PQS131143 QAM131143:QAO131143 QKI131143:QKK131143 QUE131143:QUG131143 REA131143:REC131143 RNW131143:RNY131143 RXS131143:RXU131143 SHO131143:SHQ131143 SRK131143:SRM131143 TBG131143:TBI131143 TLC131143:TLE131143 TUY131143:TVA131143 UEU131143:UEW131143 UOQ131143:UOS131143 UYM131143:UYO131143 VII131143:VIK131143 VSE131143:VSG131143 WCA131143:WCC131143 WLW131143:WLY131143 WVS131143:WVU131143 K196679:M196679 JG196679:JI196679 TC196679:TE196679 ACY196679:ADA196679 AMU196679:AMW196679 AWQ196679:AWS196679 BGM196679:BGO196679 BQI196679:BQK196679 CAE196679:CAG196679 CKA196679:CKC196679 CTW196679:CTY196679 DDS196679:DDU196679 DNO196679:DNQ196679 DXK196679:DXM196679 EHG196679:EHI196679 ERC196679:ERE196679 FAY196679:FBA196679 FKU196679:FKW196679 FUQ196679:FUS196679 GEM196679:GEO196679 GOI196679:GOK196679 GYE196679:GYG196679 HIA196679:HIC196679 HRW196679:HRY196679 IBS196679:IBU196679 ILO196679:ILQ196679 IVK196679:IVM196679 JFG196679:JFI196679 JPC196679:JPE196679 JYY196679:JZA196679 KIU196679:KIW196679 KSQ196679:KSS196679 LCM196679:LCO196679 LMI196679:LMK196679 LWE196679:LWG196679 MGA196679:MGC196679 MPW196679:MPY196679 MZS196679:MZU196679 NJO196679:NJQ196679 NTK196679:NTM196679 ODG196679:ODI196679 ONC196679:ONE196679 OWY196679:OXA196679 PGU196679:PGW196679 PQQ196679:PQS196679 QAM196679:QAO196679 QKI196679:QKK196679 QUE196679:QUG196679 REA196679:REC196679 RNW196679:RNY196679 RXS196679:RXU196679 SHO196679:SHQ196679 SRK196679:SRM196679 TBG196679:TBI196679 TLC196679:TLE196679 TUY196679:TVA196679 UEU196679:UEW196679 UOQ196679:UOS196679 UYM196679:UYO196679 VII196679:VIK196679 VSE196679:VSG196679 WCA196679:WCC196679 WLW196679:WLY196679 WVS196679:WVU196679 K262215:M262215 JG262215:JI262215 TC262215:TE262215 ACY262215:ADA262215 AMU262215:AMW262215 AWQ262215:AWS262215 BGM262215:BGO262215 BQI262215:BQK262215 CAE262215:CAG262215 CKA262215:CKC262215 CTW262215:CTY262215 DDS262215:DDU262215 DNO262215:DNQ262215 DXK262215:DXM262215 EHG262215:EHI262215 ERC262215:ERE262215 FAY262215:FBA262215 FKU262215:FKW262215 FUQ262215:FUS262215 GEM262215:GEO262215 GOI262215:GOK262215 GYE262215:GYG262215 HIA262215:HIC262215 HRW262215:HRY262215 IBS262215:IBU262215 ILO262215:ILQ262215 IVK262215:IVM262215 JFG262215:JFI262215 JPC262215:JPE262215 JYY262215:JZA262215 KIU262215:KIW262215 KSQ262215:KSS262215 LCM262215:LCO262215 LMI262215:LMK262215 LWE262215:LWG262215 MGA262215:MGC262215 MPW262215:MPY262215 MZS262215:MZU262215 NJO262215:NJQ262215 NTK262215:NTM262215 ODG262215:ODI262215 ONC262215:ONE262215 OWY262215:OXA262215 PGU262215:PGW262215 PQQ262215:PQS262215 QAM262215:QAO262215 QKI262215:QKK262215 QUE262215:QUG262215 REA262215:REC262215 RNW262215:RNY262215 RXS262215:RXU262215 SHO262215:SHQ262215 SRK262215:SRM262215 TBG262215:TBI262215 TLC262215:TLE262215 TUY262215:TVA262215 UEU262215:UEW262215 UOQ262215:UOS262215 UYM262215:UYO262215 VII262215:VIK262215 VSE262215:VSG262215 WCA262215:WCC262215 WLW262215:WLY262215 WVS262215:WVU262215 K327751:M327751 JG327751:JI327751 TC327751:TE327751 ACY327751:ADA327751 AMU327751:AMW327751 AWQ327751:AWS327751 BGM327751:BGO327751 BQI327751:BQK327751 CAE327751:CAG327751 CKA327751:CKC327751 CTW327751:CTY327751 DDS327751:DDU327751 DNO327751:DNQ327751 DXK327751:DXM327751 EHG327751:EHI327751 ERC327751:ERE327751 FAY327751:FBA327751 FKU327751:FKW327751 FUQ327751:FUS327751 GEM327751:GEO327751 GOI327751:GOK327751 GYE327751:GYG327751 HIA327751:HIC327751 HRW327751:HRY327751 IBS327751:IBU327751 ILO327751:ILQ327751 IVK327751:IVM327751 JFG327751:JFI327751 JPC327751:JPE327751 JYY327751:JZA327751 KIU327751:KIW327751 KSQ327751:KSS327751 LCM327751:LCO327751 LMI327751:LMK327751 LWE327751:LWG327751 MGA327751:MGC327751 MPW327751:MPY327751 MZS327751:MZU327751 NJO327751:NJQ327751 NTK327751:NTM327751 ODG327751:ODI327751 ONC327751:ONE327751 OWY327751:OXA327751 PGU327751:PGW327751 PQQ327751:PQS327751 QAM327751:QAO327751 QKI327751:QKK327751 QUE327751:QUG327751 REA327751:REC327751 RNW327751:RNY327751 RXS327751:RXU327751 SHO327751:SHQ327751 SRK327751:SRM327751 TBG327751:TBI327751 TLC327751:TLE327751 TUY327751:TVA327751 UEU327751:UEW327751 UOQ327751:UOS327751 UYM327751:UYO327751 VII327751:VIK327751 VSE327751:VSG327751 WCA327751:WCC327751 WLW327751:WLY327751 WVS327751:WVU327751 K393287:M393287 JG393287:JI393287 TC393287:TE393287 ACY393287:ADA393287 AMU393287:AMW393287 AWQ393287:AWS393287 BGM393287:BGO393287 BQI393287:BQK393287 CAE393287:CAG393287 CKA393287:CKC393287 CTW393287:CTY393287 DDS393287:DDU393287 DNO393287:DNQ393287 DXK393287:DXM393287 EHG393287:EHI393287 ERC393287:ERE393287 FAY393287:FBA393287 FKU393287:FKW393287 FUQ393287:FUS393287 GEM393287:GEO393287 GOI393287:GOK393287 GYE393287:GYG393287 HIA393287:HIC393287 HRW393287:HRY393287 IBS393287:IBU393287 ILO393287:ILQ393287 IVK393287:IVM393287 JFG393287:JFI393287 JPC393287:JPE393287 JYY393287:JZA393287 KIU393287:KIW393287 KSQ393287:KSS393287 LCM393287:LCO393287 LMI393287:LMK393287 LWE393287:LWG393287 MGA393287:MGC393287 MPW393287:MPY393287 MZS393287:MZU393287 NJO393287:NJQ393287 NTK393287:NTM393287 ODG393287:ODI393287 ONC393287:ONE393287 OWY393287:OXA393287 PGU393287:PGW393287 PQQ393287:PQS393287 QAM393287:QAO393287 QKI393287:QKK393287 QUE393287:QUG393287 REA393287:REC393287 RNW393287:RNY393287 RXS393287:RXU393287 SHO393287:SHQ393287 SRK393287:SRM393287 TBG393287:TBI393287 TLC393287:TLE393287 TUY393287:TVA393287 UEU393287:UEW393287 UOQ393287:UOS393287 UYM393287:UYO393287 VII393287:VIK393287 VSE393287:VSG393287 WCA393287:WCC393287 WLW393287:WLY393287 WVS393287:WVU393287 K458823:M458823 JG458823:JI458823 TC458823:TE458823 ACY458823:ADA458823 AMU458823:AMW458823 AWQ458823:AWS458823 BGM458823:BGO458823 BQI458823:BQK458823 CAE458823:CAG458823 CKA458823:CKC458823 CTW458823:CTY458823 DDS458823:DDU458823 DNO458823:DNQ458823 DXK458823:DXM458823 EHG458823:EHI458823 ERC458823:ERE458823 FAY458823:FBA458823 FKU458823:FKW458823 FUQ458823:FUS458823 GEM458823:GEO458823 GOI458823:GOK458823 GYE458823:GYG458823 HIA458823:HIC458823 HRW458823:HRY458823 IBS458823:IBU458823 ILO458823:ILQ458823 IVK458823:IVM458823 JFG458823:JFI458823 JPC458823:JPE458823 JYY458823:JZA458823 KIU458823:KIW458823 KSQ458823:KSS458823 LCM458823:LCO458823 LMI458823:LMK458823 LWE458823:LWG458823 MGA458823:MGC458823 MPW458823:MPY458823 MZS458823:MZU458823 NJO458823:NJQ458823 NTK458823:NTM458823 ODG458823:ODI458823 ONC458823:ONE458823 OWY458823:OXA458823 PGU458823:PGW458823 PQQ458823:PQS458823 QAM458823:QAO458823 QKI458823:QKK458823 QUE458823:QUG458823 REA458823:REC458823 RNW458823:RNY458823 RXS458823:RXU458823 SHO458823:SHQ458823 SRK458823:SRM458823 TBG458823:TBI458823 TLC458823:TLE458823 TUY458823:TVA458823 UEU458823:UEW458823 UOQ458823:UOS458823 UYM458823:UYO458823 VII458823:VIK458823 VSE458823:VSG458823 WCA458823:WCC458823 WLW458823:WLY458823 WVS458823:WVU458823 K524359:M524359 JG524359:JI524359 TC524359:TE524359 ACY524359:ADA524359 AMU524359:AMW524359 AWQ524359:AWS524359 BGM524359:BGO524359 BQI524359:BQK524359 CAE524359:CAG524359 CKA524359:CKC524359 CTW524359:CTY524359 DDS524359:DDU524359 DNO524359:DNQ524359 DXK524359:DXM524359 EHG524359:EHI524359 ERC524359:ERE524359 FAY524359:FBA524359 FKU524359:FKW524359 FUQ524359:FUS524359 GEM524359:GEO524359 GOI524359:GOK524359 GYE524359:GYG524359 HIA524359:HIC524359 HRW524359:HRY524359 IBS524359:IBU524359 ILO524359:ILQ524359 IVK524359:IVM524359 JFG524359:JFI524359 JPC524359:JPE524359 JYY524359:JZA524359 KIU524359:KIW524359 KSQ524359:KSS524359 LCM524359:LCO524359 LMI524359:LMK524359 LWE524359:LWG524359 MGA524359:MGC524359 MPW524359:MPY524359 MZS524359:MZU524359 NJO524359:NJQ524359 NTK524359:NTM524359 ODG524359:ODI524359 ONC524359:ONE524359 OWY524359:OXA524359 PGU524359:PGW524359 PQQ524359:PQS524359 QAM524359:QAO524359 QKI524359:QKK524359 QUE524359:QUG524359 REA524359:REC524359 RNW524359:RNY524359 RXS524359:RXU524359 SHO524359:SHQ524359 SRK524359:SRM524359 TBG524359:TBI524359 TLC524359:TLE524359 TUY524359:TVA524359 UEU524359:UEW524359 UOQ524359:UOS524359 UYM524359:UYO524359 VII524359:VIK524359 VSE524359:VSG524359 WCA524359:WCC524359 WLW524359:WLY524359 WVS524359:WVU524359 K589895:M589895 JG589895:JI589895 TC589895:TE589895 ACY589895:ADA589895 AMU589895:AMW589895 AWQ589895:AWS589895 BGM589895:BGO589895 BQI589895:BQK589895 CAE589895:CAG589895 CKA589895:CKC589895 CTW589895:CTY589895 DDS589895:DDU589895 DNO589895:DNQ589895 DXK589895:DXM589895 EHG589895:EHI589895 ERC589895:ERE589895 FAY589895:FBA589895 FKU589895:FKW589895 FUQ589895:FUS589895 GEM589895:GEO589895 GOI589895:GOK589895 GYE589895:GYG589895 HIA589895:HIC589895 HRW589895:HRY589895 IBS589895:IBU589895 ILO589895:ILQ589895 IVK589895:IVM589895 JFG589895:JFI589895 JPC589895:JPE589895 JYY589895:JZA589895 KIU589895:KIW589895 KSQ589895:KSS589895 LCM589895:LCO589895 LMI589895:LMK589895 LWE589895:LWG589895 MGA589895:MGC589895 MPW589895:MPY589895 MZS589895:MZU589895 NJO589895:NJQ589895 NTK589895:NTM589895 ODG589895:ODI589895 ONC589895:ONE589895 OWY589895:OXA589895 PGU589895:PGW589895 PQQ589895:PQS589895 QAM589895:QAO589895 QKI589895:QKK589895 QUE589895:QUG589895 REA589895:REC589895 RNW589895:RNY589895 RXS589895:RXU589895 SHO589895:SHQ589895 SRK589895:SRM589895 TBG589895:TBI589895 TLC589895:TLE589895 TUY589895:TVA589895 UEU589895:UEW589895 UOQ589895:UOS589895 UYM589895:UYO589895 VII589895:VIK589895 VSE589895:VSG589895 WCA589895:WCC589895 WLW589895:WLY589895 WVS589895:WVU589895 K655431:M655431 JG655431:JI655431 TC655431:TE655431 ACY655431:ADA655431 AMU655431:AMW655431 AWQ655431:AWS655431 BGM655431:BGO655431 BQI655431:BQK655431 CAE655431:CAG655431 CKA655431:CKC655431 CTW655431:CTY655431 DDS655431:DDU655431 DNO655431:DNQ655431 DXK655431:DXM655431 EHG655431:EHI655431 ERC655431:ERE655431 FAY655431:FBA655431 FKU655431:FKW655431 FUQ655431:FUS655431 GEM655431:GEO655431 GOI655431:GOK655431 GYE655431:GYG655431 HIA655431:HIC655431 HRW655431:HRY655431 IBS655431:IBU655431 ILO655431:ILQ655431 IVK655431:IVM655431 JFG655431:JFI655431 JPC655431:JPE655431 JYY655431:JZA655431 KIU655431:KIW655431 KSQ655431:KSS655431 LCM655431:LCO655431 LMI655431:LMK655431 LWE655431:LWG655431 MGA655431:MGC655431 MPW655431:MPY655431 MZS655431:MZU655431 NJO655431:NJQ655431 NTK655431:NTM655431 ODG655431:ODI655431 ONC655431:ONE655431 OWY655431:OXA655431 PGU655431:PGW655431 PQQ655431:PQS655431 QAM655431:QAO655431 QKI655431:QKK655431 QUE655431:QUG655431 REA655431:REC655431 RNW655431:RNY655431 RXS655431:RXU655431 SHO655431:SHQ655431 SRK655431:SRM655431 TBG655431:TBI655431 TLC655431:TLE655431 TUY655431:TVA655431 UEU655431:UEW655431 UOQ655431:UOS655431 UYM655431:UYO655431 VII655431:VIK655431 VSE655431:VSG655431 WCA655431:WCC655431 WLW655431:WLY655431 WVS655431:WVU655431 K720967:M720967 JG720967:JI720967 TC720967:TE720967 ACY720967:ADA720967 AMU720967:AMW720967 AWQ720967:AWS720967 BGM720967:BGO720967 BQI720967:BQK720967 CAE720967:CAG720967 CKA720967:CKC720967 CTW720967:CTY720967 DDS720967:DDU720967 DNO720967:DNQ720967 DXK720967:DXM720967 EHG720967:EHI720967 ERC720967:ERE720967 FAY720967:FBA720967 FKU720967:FKW720967 FUQ720967:FUS720967 GEM720967:GEO720967 GOI720967:GOK720967 GYE720967:GYG720967 HIA720967:HIC720967 HRW720967:HRY720967 IBS720967:IBU720967 ILO720967:ILQ720967 IVK720967:IVM720967 JFG720967:JFI720967 JPC720967:JPE720967 JYY720967:JZA720967 KIU720967:KIW720967 KSQ720967:KSS720967 LCM720967:LCO720967 LMI720967:LMK720967 LWE720967:LWG720967 MGA720967:MGC720967 MPW720967:MPY720967 MZS720967:MZU720967 NJO720967:NJQ720967 NTK720967:NTM720967 ODG720967:ODI720967 ONC720967:ONE720967 OWY720967:OXA720967 PGU720967:PGW720967 PQQ720967:PQS720967 QAM720967:QAO720967 QKI720967:QKK720967 QUE720967:QUG720967 REA720967:REC720967 RNW720967:RNY720967 RXS720967:RXU720967 SHO720967:SHQ720967 SRK720967:SRM720967 TBG720967:TBI720967 TLC720967:TLE720967 TUY720967:TVA720967 UEU720967:UEW720967 UOQ720967:UOS720967 UYM720967:UYO720967 VII720967:VIK720967 VSE720967:VSG720967 WCA720967:WCC720967 WLW720967:WLY720967 WVS720967:WVU720967 K786503:M786503 JG786503:JI786503 TC786503:TE786503 ACY786503:ADA786503 AMU786503:AMW786503 AWQ786503:AWS786503 BGM786503:BGO786503 BQI786503:BQK786503 CAE786503:CAG786503 CKA786503:CKC786503 CTW786503:CTY786503 DDS786503:DDU786503 DNO786503:DNQ786503 DXK786503:DXM786503 EHG786503:EHI786503 ERC786503:ERE786503 FAY786503:FBA786503 FKU786503:FKW786503 FUQ786503:FUS786503 GEM786503:GEO786503 GOI786503:GOK786503 GYE786503:GYG786503 HIA786503:HIC786503 HRW786503:HRY786503 IBS786503:IBU786503 ILO786503:ILQ786503 IVK786503:IVM786503 JFG786503:JFI786503 JPC786503:JPE786503 JYY786503:JZA786503 KIU786503:KIW786503 KSQ786503:KSS786503 LCM786503:LCO786503 LMI786503:LMK786503 LWE786503:LWG786503 MGA786503:MGC786503 MPW786503:MPY786503 MZS786503:MZU786503 NJO786503:NJQ786503 NTK786503:NTM786503 ODG786503:ODI786503 ONC786503:ONE786503 OWY786503:OXA786503 PGU786503:PGW786503 PQQ786503:PQS786503 QAM786503:QAO786503 QKI786503:QKK786503 QUE786503:QUG786503 REA786503:REC786503 RNW786503:RNY786503 RXS786503:RXU786503 SHO786503:SHQ786503 SRK786503:SRM786503 TBG786503:TBI786503 TLC786503:TLE786503 TUY786503:TVA786503 UEU786503:UEW786503 UOQ786503:UOS786503 UYM786503:UYO786503 VII786503:VIK786503 VSE786503:VSG786503 WCA786503:WCC786503 WLW786503:WLY786503 WVS786503:WVU786503 K852039:M852039 JG852039:JI852039 TC852039:TE852039 ACY852039:ADA852039 AMU852039:AMW852039 AWQ852039:AWS852039 BGM852039:BGO852039 BQI852039:BQK852039 CAE852039:CAG852039 CKA852039:CKC852039 CTW852039:CTY852039 DDS852039:DDU852039 DNO852039:DNQ852039 DXK852039:DXM852039 EHG852039:EHI852039 ERC852039:ERE852039 FAY852039:FBA852039 FKU852039:FKW852039 FUQ852039:FUS852039 GEM852039:GEO852039 GOI852039:GOK852039 GYE852039:GYG852039 HIA852039:HIC852039 HRW852039:HRY852039 IBS852039:IBU852039 ILO852039:ILQ852039 IVK852039:IVM852039 JFG852039:JFI852039 JPC852039:JPE852039 JYY852039:JZA852039 KIU852039:KIW852039 KSQ852039:KSS852039 LCM852039:LCO852039 LMI852039:LMK852039 LWE852039:LWG852039 MGA852039:MGC852039 MPW852039:MPY852039 MZS852039:MZU852039 NJO852039:NJQ852039 NTK852039:NTM852039 ODG852039:ODI852039 ONC852039:ONE852039 OWY852039:OXA852039 PGU852039:PGW852039 PQQ852039:PQS852039 QAM852039:QAO852039 QKI852039:QKK852039 QUE852039:QUG852039 REA852039:REC852039 RNW852039:RNY852039 RXS852039:RXU852039 SHO852039:SHQ852039 SRK852039:SRM852039 TBG852039:TBI852039 TLC852039:TLE852039 TUY852039:TVA852039 UEU852039:UEW852039 UOQ852039:UOS852039 UYM852039:UYO852039 VII852039:VIK852039 VSE852039:VSG852039 WCA852039:WCC852039 WLW852039:WLY852039 WVS852039:WVU852039 K917575:M917575 JG917575:JI917575 TC917575:TE917575 ACY917575:ADA917575 AMU917575:AMW917575 AWQ917575:AWS917575 BGM917575:BGO917575 BQI917575:BQK917575 CAE917575:CAG917575 CKA917575:CKC917575 CTW917575:CTY917575 DDS917575:DDU917575 DNO917575:DNQ917575 DXK917575:DXM917575 EHG917575:EHI917575 ERC917575:ERE917575 FAY917575:FBA917575 FKU917575:FKW917575 FUQ917575:FUS917575 GEM917575:GEO917575 GOI917575:GOK917575 GYE917575:GYG917575 HIA917575:HIC917575 HRW917575:HRY917575 IBS917575:IBU917575 ILO917575:ILQ917575 IVK917575:IVM917575 JFG917575:JFI917575 JPC917575:JPE917575 JYY917575:JZA917575 KIU917575:KIW917575 KSQ917575:KSS917575 LCM917575:LCO917575 LMI917575:LMK917575 LWE917575:LWG917575 MGA917575:MGC917575 MPW917575:MPY917575 MZS917575:MZU917575 NJO917575:NJQ917575 NTK917575:NTM917575 ODG917575:ODI917575 ONC917575:ONE917575 OWY917575:OXA917575 PGU917575:PGW917575 PQQ917575:PQS917575 QAM917575:QAO917575 QKI917575:QKK917575 QUE917575:QUG917575 REA917575:REC917575 RNW917575:RNY917575 RXS917575:RXU917575 SHO917575:SHQ917575 SRK917575:SRM917575 TBG917575:TBI917575 TLC917575:TLE917575 TUY917575:TVA917575 UEU917575:UEW917575 UOQ917575:UOS917575 UYM917575:UYO917575 VII917575:VIK917575 VSE917575:VSG917575 WCA917575:WCC917575 WLW917575:WLY917575 WVS917575:WVU917575 K983111:M983111 JG983111:JI983111 TC983111:TE983111 ACY983111:ADA983111 AMU983111:AMW983111 AWQ983111:AWS983111 BGM983111:BGO983111 BQI983111:BQK983111 CAE983111:CAG983111 CKA983111:CKC983111 CTW983111:CTY983111 DDS983111:DDU983111 DNO983111:DNQ983111 DXK983111:DXM983111 EHG983111:EHI983111 ERC983111:ERE983111 FAY983111:FBA983111 FKU983111:FKW983111 FUQ983111:FUS983111 GEM983111:GEO983111 GOI983111:GOK983111 GYE983111:GYG983111 HIA983111:HIC983111 HRW983111:HRY983111 IBS983111:IBU983111 ILO983111:ILQ983111 IVK983111:IVM983111 JFG983111:JFI983111 JPC983111:JPE983111 JYY983111:JZA983111 KIU983111:KIW983111 KSQ983111:KSS983111 LCM983111:LCO983111 LMI983111:LMK983111 LWE983111:LWG983111 MGA983111:MGC983111 MPW983111:MPY983111 MZS983111:MZU983111 NJO983111:NJQ983111 NTK983111:NTM983111 ODG983111:ODI983111 ONC983111:ONE983111 OWY983111:OXA983111 PGU983111:PGW983111 PQQ983111:PQS983111 QAM983111:QAO983111 QKI983111:QKK983111 QUE983111:QUG983111 REA983111:REC983111 RNW983111:RNY983111 RXS983111:RXU983111 SHO983111:SHQ983111 SRK983111:SRM983111 TBG983111:TBI983111 TLC983111:TLE983111 TUY983111:TVA983111 UEU983111:UEW983111 UOQ983111:UOS983111 UYM983111:UYO983111 VII983111:VIK983111 VSE983111:VSG983111 WCA983111:WCC983111 WLW983111:WLY983111 WVS983111:WVU983111 L66:M68 JH66:JI68 TD66:TE68 ACZ66:ADA68 AMV66:AMW68 AWR66:AWS68 BGN66:BGO68 BQJ66:BQK68 CAF66:CAG68 CKB66:CKC68 CTX66:CTY68 DDT66:DDU68 DNP66:DNQ68 DXL66:DXM68 EHH66:EHI68 ERD66:ERE68 FAZ66:FBA68 FKV66:FKW68 FUR66:FUS68 GEN66:GEO68 GOJ66:GOK68 GYF66:GYG68 HIB66:HIC68 HRX66:HRY68 IBT66:IBU68 ILP66:ILQ68 IVL66:IVM68 JFH66:JFI68 JPD66:JPE68 JYZ66:JZA68 KIV66:KIW68 KSR66:KSS68 LCN66:LCO68 LMJ66:LMK68 LWF66:LWG68 MGB66:MGC68 MPX66:MPY68 MZT66:MZU68 NJP66:NJQ68 NTL66:NTM68 ODH66:ODI68 OND66:ONE68 OWZ66:OXA68 PGV66:PGW68 PQR66:PQS68 QAN66:QAO68 QKJ66:QKK68 QUF66:QUG68 REB66:REC68 RNX66:RNY68 RXT66:RXU68 SHP66:SHQ68 SRL66:SRM68 TBH66:TBI68 TLD66:TLE68 TUZ66:TVA68 UEV66:UEW68 UOR66:UOS68 UYN66:UYO68 VIJ66:VIK68 VSF66:VSG68 WCB66:WCC68 WLX66:WLY68 WVT66:WVU68 L65602:M65604 JH65602:JI65604 TD65602:TE65604 ACZ65602:ADA65604 AMV65602:AMW65604 AWR65602:AWS65604 BGN65602:BGO65604 BQJ65602:BQK65604 CAF65602:CAG65604 CKB65602:CKC65604 CTX65602:CTY65604 DDT65602:DDU65604 DNP65602:DNQ65604 DXL65602:DXM65604 EHH65602:EHI65604 ERD65602:ERE65604 FAZ65602:FBA65604 FKV65602:FKW65604 FUR65602:FUS65604 GEN65602:GEO65604 GOJ65602:GOK65604 GYF65602:GYG65604 HIB65602:HIC65604 HRX65602:HRY65604 IBT65602:IBU65604 ILP65602:ILQ65604 IVL65602:IVM65604 JFH65602:JFI65604 JPD65602:JPE65604 JYZ65602:JZA65604 KIV65602:KIW65604 KSR65602:KSS65604 LCN65602:LCO65604 LMJ65602:LMK65604 LWF65602:LWG65604 MGB65602:MGC65604 MPX65602:MPY65604 MZT65602:MZU65604 NJP65602:NJQ65604 NTL65602:NTM65604 ODH65602:ODI65604 OND65602:ONE65604 OWZ65602:OXA65604 PGV65602:PGW65604 PQR65602:PQS65604 QAN65602:QAO65604 QKJ65602:QKK65604 QUF65602:QUG65604 REB65602:REC65604 RNX65602:RNY65604 RXT65602:RXU65604 SHP65602:SHQ65604 SRL65602:SRM65604 TBH65602:TBI65604 TLD65602:TLE65604 TUZ65602:TVA65604 UEV65602:UEW65604 UOR65602:UOS65604 UYN65602:UYO65604 VIJ65602:VIK65604 VSF65602:VSG65604 WCB65602:WCC65604 WLX65602:WLY65604 WVT65602:WVU65604 L131138:M131140 JH131138:JI131140 TD131138:TE131140 ACZ131138:ADA131140 AMV131138:AMW131140 AWR131138:AWS131140 BGN131138:BGO131140 BQJ131138:BQK131140 CAF131138:CAG131140 CKB131138:CKC131140 CTX131138:CTY131140 DDT131138:DDU131140 DNP131138:DNQ131140 DXL131138:DXM131140 EHH131138:EHI131140 ERD131138:ERE131140 FAZ131138:FBA131140 FKV131138:FKW131140 FUR131138:FUS131140 GEN131138:GEO131140 GOJ131138:GOK131140 GYF131138:GYG131140 HIB131138:HIC131140 HRX131138:HRY131140 IBT131138:IBU131140 ILP131138:ILQ131140 IVL131138:IVM131140 JFH131138:JFI131140 JPD131138:JPE131140 JYZ131138:JZA131140 KIV131138:KIW131140 KSR131138:KSS131140 LCN131138:LCO131140 LMJ131138:LMK131140 LWF131138:LWG131140 MGB131138:MGC131140 MPX131138:MPY131140 MZT131138:MZU131140 NJP131138:NJQ131140 NTL131138:NTM131140 ODH131138:ODI131140 OND131138:ONE131140 OWZ131138:OXA131140 PGV131138:PGW131140 PQR131138:PQS131140 QAN131138:QAO131140 QKJ131138:QKK131140 QUF131138:QUG131140 REB131138:REC131140 RNX131138:RNY131140 RXT131138:RXU131140 SHP131138:SHQ131140 SRL131138:SRM131140 TBH131138:TBI131140 TLD131138:TLE131140 TUZ131138:TVA131140 UEV131138:UEW131140 UOR131138:UOS131140 UYN131138:UYO131140 VIJ131138:VIK131140 VSF131138:VSG131140 WCB131138:WCC131140 WLX131138:WLY131140 WVT131138:WVU131140 L196674:M196676 JH196674:JI196676 TD196674:TE196676 ACZ196674:ADA196676 AMV196674:AMW196676 AWR196674:AWS196676 BGN196674:BGO196676 BQJ196674:BQK196676 CAF196674:CAG196676 CKB196674:CKC196676 CTX196674:CTY196676 DDT196674:DDU196676 DNP196674:DNQ196676 DXL196674:DXM196676 EHH196674:EHI196676 ERD196674:ERE196676 FAZ196674:FBA196676 FKV196674:FKW196676 FUR196674:FUS196676 GEN196674:GEO196676 GOJ196674:GOK196676 GYF196674:GYG196676 HIB196674:HIC196676 HRX196674:HRY196676 IBT196674:IBU196676 ILP196674:ILQ196676 IVL196674:IVM196676 JFH196674:JFI196676 JPD196674:JPE196676 JYZ196674:JZA196676 KIV196674:KIW196676 KSR196674:KSS196676 LCN196674:LCO196676 LMJ196674:LMK196676 LWF196674:LWG196676 MGB196674:MGC196676 MPX196674:MPY196676 MZT196674:MZU196676 NJP196674:NJQ196676 NTL196674:NTM196676 ODH196674:ODI196676 OND196674:ONE196676 OWZ196674:OXA196676 PGV196674:PGW196676 PQR196674:PQS196676 QAN196674:QAO196676 QKJ196674:QKK196676 QUF196674:QUG196676 REB196674:REC196676 RNX196674:RNY196676 RXT196674:RXU196676 SHP196674:SHQ196676 SRL196674:SRM196676 TBH196674:TBI196676 TLD196674:TLE196676 TUZ196674:TVA196676 UEV196674:UEW196676 UOR196674:UOS196676 UYN196674:UYO196676 VIJ196674:VIK196676 VSF196674:VSG196676 WCB196674:WCC196676 WLX196674:WLY196676 WVT196674:WVU196676 L262210:M262212 JH262210:JI262212 TD262210:TE262212 ACZ262210:ADA262212 AMV262210:AMW262212 AWR262210:AWS262212 BGN262210:BGO262212 BQJ262210:BQK262212 CAF262210:CAG262212 CKB262210:CKC262212 CTX262210:CTY262212 DDT262210:DDU262212 DNP262210:DNQ262212 DXL262210:DXM262212 EHH262210:EHI262212 ERD262210:ERE262212 FAZ262210:FBA262212 FKV262210:FKW262212 FUR262210:FUS262212 GEN262210:GEO262212 GOJ262210:GOK262212 GYF262210:GYG262212 HIB262210:HIC262212 HRX262210:HRY262212 IBT262210:IBU262212 ILP262210:ILQ262212 IVL262210:IVM262212 JFH262210:JFI262212 JPD262210:JPE262212 JYZ262210:JZA262212 KIV262210:KIW262212 KSR262210:KSS262212 LCN262210:LCO262212 LMJ262210:LMK262212 LWF262210:LWG262212 MGB262210:MGC262212 MPX262210:MPY262212 MZT262210:MZU262212 NJP262210:NJQ262212 NTL262210:NTM262212 ODH262210:ODI262212 OND262210:ONE262212 OWZ262210:OXA262212 PGV262210:PGW262212 PQR262210:PQS262212 QAN262210:QAO262212 QKJ262210:QKK262212 QUF262210:QUG262212 REB262210:REC262212 RNX262210:RNY262212 RXT262210:RXU262212 SHP262210:SHQ262212 SRL262210:SRM262212 TBH262210:TBI262212 TLD262210:TLE262212 TUZ262210:TVA262212 UEV262210:UEW262212 UOR262210:UOS262212 UYN262210:UYO262212 VIJ262210:VIK262212 VSF262210:VSG262212 WCB262210:WCC262212 WLX262210:WLY262212 WVT262210:WVU262212 L327746:M327748 JH327746:JI327748 TD327746:TE327748 ACZ327746:ADA327748 AMV327746:AMW327748 AWR327746:AWS327748 BGN327746:BGO327748 BQJ327746:BQK327748 CAF327746:CAG327748 CKB327746:CKC327748 CTX327746:CTY327748 DDT327746:DDU327748 DNP327746:DNQ327748 DXL327746:DXM327748 EHH327746:EHI327748 ERD327746:ERE327748 FAZ327746:FBA327748 FKV327746:FKW327748 FUR327746:FUS327748 GEN327746:GEO327748 GOJ327746:GOK327748 GYF327746:GYG327748 HIB327746:HIC327748 HRX327746:HRY327748 IBT327746:IBU327748 ILP327746:ILQ327748 IVL327746:IVM327748 JFH327746:JFI327748 JPD327746:JPE327748 JYZ327746:JZA327748 KIV327746:KIW327748 KSR327746:KSS327748 LCN327746:LCO327748 LMJ327746:LMK327748 LWF327746:LWG327748 MGB327746:MGC327748 MPX327746:MPY327748 MZT327746:MZU327748 NJP327746:NJQ327748 NTL327746:NTM327748 ODH327746:ODI327748 OND327746:ONE327748 OWZ327746:OXA327748 PGV327746:PGW327748 PQR327746:PQS327748 QAN327746:QAO327748 QKJ327746:QKK327748 QUF327746:QUG327748 REB327746:REC327748 RNX327746:RNY327748 RXT327746:RXU327748 SHP327746:SHQ327748 SRL327746:SRM327748 TBH327746:TBI327748 TLD327746:TLE327748 TUZ327746:TVA327748 UEV327746:UEW327748 UOR327746:UOS327748 UYN327746:UYO327748 VIJ327746:VIK327748 VSF327746:VSG327748 WCB327746:WCC327748 WLX327746:WLY327748 WVT327746:WVU327748 L393282:M393284 JH393282:JI393284 TD393282:TE393284 ACZ393282:ADA393284 AMV393282:AMW393284 AWR393282:AWS393284 BGN393282:BGO393284 BQJ393282:BQK393284 CAF393282:CAG393284 CKB393282:CKC393284 CTX393282:CTY393284 DDT393282:DDU393284 DNP393282:DNQ393284 DXL393282:DXM393284 EHH393282:EHI393284 ERD393282:ERE393284 FAZ393282:FBA393284 FKV393282:FKW393284 FUR393282:FUS393284 GEN393282:GEO393284 GOJ393282:GOK393284 GYF393282:GYG393284 HIB393282:HIC393284 HRX393282:HRY393284 IBT393282:IBU393284 ILP393282:ILQ393284 IVL393282:IVM393284 JFH393282:JFI393284 JPD393282:JPE393284 JYZ393282:JZA393284 KIV393282:KIW393284 KSR393282:KSS393284 LCN393282:LCO393284 LMJ393282:LMK393284 LWF393282:LWG393284 MGB393282:MGC393284 MPX393282:MPY393284 MZT393282:MZU393284 NJP393282:NJQ393284 NTL393282:NTM393284 ODH393282:ODI393284 OND393282:ONE393284 OWZ393282:OXA393284 PGV393282:PGW393284 PQR393282:PQS393284 QAN393282:QAO393284 QKJ393282:QKK393284 QUF393282:QUG393284 REB393282:REC393284 RNX393282:RNY393284 RXT393282:RXU393284 SHP393282:SHQ393284 SRL393282:SRM393284 TBH393282:TBI393284 TLD393282:TLE393284 TUZ393282:TVA393284 UEV393282:UEW393284 UOR393282:UOS393284 UYN393282:UYO393284 VIJ393282:VIK393284 VSF393282:VSG393284 WCB393282:WCC393284 WLX393282:WLY393284 WVT393282:WVU393284 L458818:M458820 JH458818:JI458820 TD458818:TE458820 ACZ458818:ADA458820 AMV458818:AMW458820 AWR458818:AWS458820 BGN458818:BGO458820 BQJ458818:BQK458820 CAF458818:CAG458820 CKB458818:CKC458820 CTX458818:CTY458820 DDT458818:DDU458820 DNP458818:DNQ458820 DXL458818:DXM458820 EHH458818:EHI458820 ERD458818:ERE458820 FAZ458818:FBA458820 FKV458818:FKW458820 FUR458818:FUS458820 GEN458818:GEO458820 GOJ458818:GOK458820 GYF458818:GYG458820 HIB458818:HIC458820 HRX458818:HRY458820 IBT458818:IBU458820 ILP458818:ILQ458820 IVL458818:IVM458820 JFH458818:JFI458820 JPD458818:JPE458820 JYZ458818:JZA458820 KIV458818:KIW458820 KSR458818:KSS458820 LCN458818:LCO458820 LMJ458818:LMK458820 LWF458818:LWG458820 MGB458818:MGC458820 MPX458818:MPY458820 MZT458818:MZU458820 NJP458818:NJQ458820 NTL458818:NTM458820 ODH458818:ODI458820 OND458818:ONE458820 OWZ458818:OXA458820 PGV458818:PGW458820 PQR458818:PQS458820 QAN458818:QAO458820 QKJ458818:QKK458820 QUF458818:QUG458820 REB458818:REC458820 RNX458818:RNY458820 RXT458818:RXU458820 SHP458818:SHQ458820 SRL458818:SRM458820 TBH458818:TBI458820 TLD458818:TLE458820 TUZ458818:TVA458820 UEV458818:UEW458820 UOR458818:UOS458820 UYN458818:UYO458820 VIJ458818:VIK458820 VSF458818:VSG458820 WCB458818:WCC458820 WLX458818:WLY458820 WVT458818:WVU458820 L524354:M524356 JH524354:JI524356 TD524354:TE524356 ACZ524354:ADA524356 AMV524354:AMW524356 AWR524354:AWS524356 BGN524354:BGO524356 BQJ524354:BQK524356 CAF524354:CAG524356 CKB524354:CKC524356 CTX524354:CTY524356 DDT524354:DDU524356 DNP524354:DNQ524356 DXL524354:DXM524356 EHH524354:EHI524356 ERD524354:ERE524356 FAZ524354:FBA524356 FKV524354:FKW524356 FUR524354:FUS524356 GEN524354:GEO524356 GOJ524354:GOK524356 GYF524354:GYG524356 HIB524354:HIC524356 HRX524354:HRY524356 IBT524354:IBU524356 ILP524354:ILQ524356 IVL524354:IVM524356 JFH524354:JFI524356 JPD524354:JPE524356 JYZ524354:JZA524356 KIV524354:KIW524356 KSR524354:KSS524356 LCN524354:LCO524356 LMJ524354:LMK524356 LWF524354:LWG524356 MGB524354:MGC524356 MPX524354:MPY524356 MZT524354:MZU524356 NJP524354:NJQ524356 NTL524354:NTM524356 ODH524354:ODI524356 OND524354:ONE524356 OWZ524354:OXA524356 PGV524354:PGW524356 PQR524354:PQS524356 QAN524354:QAO524356 QKJ524354:QKK524356 QUF524354:QUG524356 REB524354:REC524356 RNX524354:RNY524356 RXT524354:RXU524356 SHP524354:SHQ524356 SRL524354:SRM524356 TBH524354:TBI524356 TLD524354:TLE524356 TUZ524354:TVA524356 UEV524354:UEW524356 UOR524354:UOS524356 UYN524354:UYO524356 VIJ524354:VIK524356 VSF524354:VSG524356 WCB524354:WCC524356 WLX524354:WLY524356 WVT524354:WVU524356 L589890:M589892 JH589890:JI589892 TD589890:TE589892 ACZ589890:ADA589892 AMV589890:AMW589892 AWR589890:AWS589892 BGN589890:BGO589892 BQJ589890:BQK589892 CAF589890:CAG589892 CKB589890:CKC589892 CTX589890:CTY589892 DDT589890:DDU589892 DNP589890:DNQ589892 DXL589890:DXM589892 EHH589890:EHI589892 ERD589890:ERE589892 FAZ589890:FBA589892 FKV589890:FKW589892 FUR589890:FUS589892 GEN589890:GEO589892 GOJ589890:GOK589892 GYF589890:GYG589892 HIB589890:HIC589892 HRX589890:HRY589892 IBT589890:IBU589892 ILP589890:ILQ589892 IVL589890:IVM589892 JFH589890:JFI589892 JPD589890:JPE589892 JYZ589890:JZA589892 KIV589890:KIW589892 KSR589890:KSS589892 LCN589890:LCO589892 LMJ589890:LMK589892 LWF589890:LWG589892 MGB589890:MGC589892 MPX589890:MPY589892 MZT589890:MZU589892 NJP589890:NJQ589892 NTL589890:NTM589892 ODH589890:ODI589892 OND589890:ONE589892 OWZ589890:OXA589892 PGV589890:PGW589892 PQR589890:PQS589892 QAN589890:QAO589892 QKJ589890:QKK589892 QUF589890:QUG589892 REB589890:REC589892 RNX589890:RNY589892 RXT589890:RXU589892 SHP589890:SHQ589892 SRL589890:SRM589892 TBH589890:TBI589892 TLD589890:TLE589892 TUZ589890:TVA589892 UEV589890:UEW589892 UOR589890:UOS589892 UYN589890:UYO589892 VIJ589890:VIK589892 VSF589890:VSG589892 WCB589890:WCC589892 WLX589890:WLY589892 WVT589890:WVU589892 L655426:M655428 JH655426:JI655428 TD655426:TE655428 ACZ655426:ADA655428 AMV655426:AMW655428 AWR655426:AWS655428 BGN655426:BGO655428 BQJ655426:BQK655428 CAF655426:CAG655428 CKB655426:CKC655428 CTX655426:CTY655428 DDT655426:DDU655428 DNP655426:DNQ655428 DXL655426:DXM655428 EHH655426:EHI655428 ERD655426:ERE655428 FAZ655426:FBA655428 FKV655426:FKW655428 FUR655426:FUS655428 GEN655426:GEO655428 GOJ655426:GOK655428 GYF655426:GYG655428 HIB655426:HIC655428 HRX655426:HRY655428 IBT655426:IBU655428 ILP655426:ILQ655428 IVL655426:IVM655428 JFH655426:JFI655428 JPD655426:JPE655428 JYZ655426:JZA655428 KIV655426:KIW655428 KSR655426:KSS655428 LCN655426:LCO655428 LMJ655426:LMK655428 LWF655426:LWG655428 MGB655426:MGC655428 MPX655426:MPY655428 MZT655426:MZU655428 NJP655426:NJQ655428 NTL655426:NTM655428 ODH655426:ODI655428 OND655426:ONE655428 OWZ655426:OXA655428 PGV655426:PGW655428 PQR655426:PQS655428 QAN655426:QAO655428 QKJ655426:QKK655428 QUF655426:QUG655428 REB655426:REC655428 RNX655426:RNY655428 RXT655426:RXU655428 SHP655426:SHQ655428 SRL655426:SRM655428 TBH655426:TBI655428 TLD655426:TLE655428 TUZ655426:TVA655428 UEV655426:UEW655428 UOR655426:UOS655428 UYN655426:UYO655428 VIJ655426:VIK655428 VSF655426:VSG655428 WCB655426:WCC655428 WLX655426:WLY655428 WVT655426:WVU655428 L720962:M720964 JH720962:JI720964 TD720962:TE720964 ACZ720962:ADA720964 AMV720962:AMW720964 AWR720962:AWS720964 BGN720962:BGO720964 BQJ720962:BQK720964 CAF720962:CAG720964 CKB720962:CKC720964 CTX720962:CTY720964 DDT720962:DDU720964 DNP720962:DNQ720964 DXL720962:DXM720964 EHH720962:EHI720964 ERD720962:ERE720964 FAZ720962:FBA720964 FKV720962:FKW720964 FUR720962:FUS720964 GEN720962:GEO720964 GOJ720962:GOK720964 GYF720962:GYG720964 HIB720962:HIC720964 HRX720962:HRY720964 IBT720962:IBU720964 ILP720962:ILQ720964 IVL720962:IVM720964 JFH720962:JFI720964 JPD720962:JPE720964 JYZ720962:JZA720964 KIV720962:KIW720964 KSR720962:KSS720964 LCN720962:LCO720964 LMJ720962:LMK720964 LWF720962:LWG720964 MGB720962:MGC720964 MPX720962:MPY720964 MZT720962:MZU720964 NJP720962:NJQ720964 NTL720962:NTM720964 ODH720962:ODI720964 OND720962:ONE720964 OWZ720962:OXA720964 PGV720962:PGW720964 PQR720962:PQS720964 QAN720962:QAO720964 QKJ720962:QKK720964 QUF720962:QUG720964 REB720962:REC720964 RNX720962:RNY720964 RXT720962:RXU720964 SHP720962:SHQ720964 SRL720962:SRM720964 TBH720962:TBI720964 TLD720962:TLE720964 TUZ720962:TVA720964 UEV720962:UEW720964 UOR720962:UOS720964 UYN720962:UYO720964 VIJ720962:VIK720964 VSF720962:VSG720964 WCB720962:WCC720964 WLX720962:WLY720964 WVT720962:WVU720964 L786498:M786500 JH786498:JI786500 TD786498:TE786500 ACZ786498:ADA786500 AMV786498:AMW786500 AWR786498:AWS786500 BGN786498:BGO786500 BQJ786498:BQK786500 CAF786498:CAG786500 CKB786498:CKC786500 CTX786498:CTY786500 DDT786498:DDU786500 DNP786498:DNQ786500 DXL786498:DXM786500 EHH786498:EHI786500 ERD786498:ERE786500 FAZ786498:FBA786500 FKV786498:FKW786500 FUR786498:FUS786500 GEN786498:GEO786500 GOJ786498:GOK786500 GYF786498:GYG786500 HIB786498:HIC786500 HRX786498:HRY786500 IBT786498:IBU786500 ILP786498:ILQ786500 IVL786498:IVM786500 JFH786498:JFI786500 JPD786498:JPE786500 JYZ786498:JZA786500 KIV786498:KIW786500 KSR786498:KSS786500 LCN786498:LCO786500 LMJ786498:LMK786500 LWF786498:LWG786500 MGB786498:MGC786500 MPX786498:MPY786500 MZT786498:MZU786500 NJP786498:NJQ786500 NTL786498:NTM786500 ODH786498:ODI786500 OND786498:ONE786500 OWZ786498:OXA786500 PGV786498:PGW786500 PQR786498:PQS786500 QAN786498:QAO786500 QKJ786498:QKK786500 QUF786498:QUG786500 REB786498:REC786500 RNX786498:RNY786500 RXT786498:RXU786500 SHP786498:SHQ786500 SRL786498:SRM786500 TBH786498:TBI786500 TLD786498:TLE786500 TUZ786498:TVA786500 UEV786498:UEW786500 UOR786498:UOS786500 UYN786498:UYO786500 VIJ786498:VIK786500 VSF786498:VSG786500 WCB786498:WCC786500 WLX786498:WLY786500 WVT786498:WVU786500 L852034:M852036 JH852034:JI852036 TD852034:TE852036 ACZ852034:ADA852036 AMV852034:AMW852036 AWR852034:AWS852036 BGN852034:BGO852036 BQJ852034:BQK852036 CAF852034:CAG852036 CKB852034:CKC852036 CTX852034:CTY852036 DDT852034:DDU852036 DNP852034:DNQ852036 DXL852034:DXM852036 EHH852034:EHI852036 ERD852034:ERE852036 FAZ852034:FBA852036 FKV852034:FKW852036 FUR852034:FUS852036 GEN852034:GEO852036 GOJ852034:GOK852036 GYF852034:GYG852036 HIB852034:HIC852036 HRX852034:HRY852036 IBT852034:IBU852036 ILP852034:ILQ852036 IVL852034:IVM852036 JFH852034:JFI852036 JPD852034:JPE852036 JYZ852034:JZA852036 KIV852034:KIW852036 KSR852034:KSS852036 LCN852034:LCO852036 LMJ852034:LMK852036 LWF852034:LWG852036 MGB852034:MGC852036 MPX852034:MPY852036 MZT852034:MZU852036 NJP852034:NJQ852036 NTL852034:NTM852036 ODH852034:ODI852036 OND852034:ONE852036 OWZ852034:OXA852036 PGV852034:PGW852036 PQR852034:PQS852036 QAN852034:QAO852036 QKJ852034:QKK852036 QUF852034:QUG852036 REB852034:REC852036 RNX852034:RNY852036 RXT852034:RXU852036 SHP852034:SHQ852036 SRL852034:SRM852036 TBH852034:TBI852036 TLD852034:TLE852036 TUZ852034:TVA852036 UEV852034:UEW852036 UOR852034:UOS852036 UYN852034:UYO852036 VIJ852034:VIK852036 VSF852034:VSG852036 WCB852034:WCC852036 WLX852034:WLY852036 WVT852034:WVU852036 L917570:M917572 JH917570:JI917572 TD917570:TE917572 ACZ917570:ADA917572 AMV917570:AMW917572 AWR917570:AWS917572 BGN917570:BGO917572 BQJ917570:BQK917572 CAF917570:CAG917572 CKB917570:CKC917572 CTX917570:CTY917572 DDT917570:DDU917572 DNP917570:DNQ917572 DXL917570:DXM917572 EHH917570:EHI917572 ERD917570:ERE917572 FAZ917570:FBA917572 FKV917570:FKW917572 FUR917570:FUS917572 GEN917570:GEO917572 GOJ917570:GOK917572 GYF917570:GYG917572 HIB917570:HIC917572 HRX917570:HRY917572 IBT917570:IBU917572 ILP917570:ILQ917572 IVL917570:IVM917572 JFH917570:JFI917572 JPD917570:JPE917572 JYZ917570:JZA917572 KIV917570:KIW917572 KSR917570:KSS917572 LCN917570:LCO917572 LMJ917570:LMK917572 LWF917570:LWG917572 MGB917570:MGC917572 MPX917570:MPY917572 MZT917570:MZU917572 NJP917570:NJQ917572 NTL917570:NTM917572 ODH917570:ODI917572 OND917570:ONE917572 OWZ917570:OXA917572 PGV917570:PGW917572 PQR917570:PQS917572 QAN917570:QAO917572 QKJ917570:QKK917572 QUF917570:QUG917572 REB917570:REC917572 RNX917570:RNY917572 RXT917570:RXU917572 SHP917570:SHQ917572 SRL917570:SRM917572 TBH917570:TBI917572 TLD917570:TLE917572 TUZ917570:TVA917572 UEV917570:UEW917572 UOR917570:UOS917572 UYN917570:UYO917572 VIJ917570:VIK917572 VSF917570:VSG917572 WCB917570:WCC917572 WLX917570:WLY917572 WVT917570:WVU917572 L983106:M983108 JH983106:JI983108 TD983106:TE983108 ACZ983106:ADA983108 AMV983106:AMW983108 AWR983106:AWS983108 BGN983106:BGO983108 BQJ983106:BQK983108 CAF983106:CAG983108 CKB983106:CKC983108 CTX983106:CTY983108 DDT983106:DDU983108 DNP983106:DNQ983108 DXL983106:DXM983108 EHH983106:EHI983108 ERD983106:ERE983108 FAZ983106:FBA983108 FKV983106:FKW983108 FUR983106:FUS983108 GEN983106:GEO983108 GOJ983106:GOK983108 GYF983106:GYG983108 HIB983106:HIC983108 HRX983106:HRY983108 IBT983106:IBU983108 ILP983106:ILQ983108 IVL983106:IVM983108 JFH983106:JFI983108 JPD983106:JPE983108 JYZ983106:JZA983108 KIV983106:KIW983108 KSR983106:KSS983108 LCN983106:LCO983108 LMJ983106:LMK983108 LWF983106:LWG983108 MGB983106:MGC983108 MPX983106:MPY983108 MZT983106:MZU983108 NJP983106:NJQ983108 NTL983106:NTM983108 ODH983106:ODI983108 OND983106:ONE983108 OWZ983106:OXA983108 PGV983106:PGW983108 PQR983106:PQS983108 QAN983106:QAO983108 QKJ983106:QKK983108 QUF983106:QUG983108 REB983106:REC983108 RNX983106:RNY983108 RXT983106:RXU983108 SHP983106:SHQ983108 SRL983106:SRM983108 TBH983106:TBI983108 TLD983106:TLE983108 TUZ983106:TVA983108 UEV983106:UEW983108 UOR983106:UOS983108 UYN983106:UYO983108 VIJ983106:VIK983108 VSF983106:VSG983108 WCB983106:WCC983108 WLX983106:WLY983108 WVT983106:WVU983108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C1CFD-263E-40D1-8344-9A45C6CE0690}">
  <sheetPr codeName="Sheet30">
    <tabColor rgb="FF142C41"/>
  </sheetPr>
  <dimension ref="A1:N185"/>
  <sheetViews>
    <sheetView showGridLines="0" zoomScaleNormal="100" workbookViewId="0"/>
  </sheetViews>
  <sheetFormatPr defaultColWidth="0" defaultRowHeight="14.5" zeroHeight="1"/>
  <cols>
    <col min="1" max="1" width="3.81640625" style="38" customWidth="1"/>
    <col min="2" max="2" width="4.1796875" style="38" customWidth="1"/>
    <col min="3" max="3" width="23.54296875" style="38" customWidth="1"/>
    <col min="4" max="4" width="30.54296875" style="38" customWidth="1"/>
    <col min="5" max="5" width="7.453125" style="38" customWidth="1"/>
    <col min="6" max="6" width="16.1796875" style="38" customWidth="1"/>
    <col min="7" max="8" width="8.81640625" style="38" customWidth="1"/>
    <col min="9" max="9" width="22.1796875" style="38" customWidth="1"/>
    <col min="10" max="10" width="34.1796875" style="38" customWidth="1"/>
    <col min="11" max="11" width="15.453125" style="38" customWidth="1"/>
    <col min="12" max="12" width="8.81640625" style="38" customWidth="1"/>
    <col min="13" max="13" width="10" style="38" customWidth="1"/>
    <col min="14" max="14" width="3.7265625" style="38" customWidth="1"/>
    <col min="15" max="16384" width="8.81640625" style="38" hidden="1"/>
  </cols>
  <sheetData>
    <row r="1" spans="1:14" ht="61" customHeight="1">
      <c r="A1" s="728"/>
      <c r="B1" s="729" t="str">
        <f>'Customer Information'!A1</f>
        <v>2025 Commercial Efficiency Program</v>
      </c>
      <c r="C1" s="728"/>
      <c r="D1" s="715"/>
      <c r="E1" s="715"/>
      <c r="F1" s="715"/>
      <c r="G1" s="715"/>
      <c r="H1" s="730"/>
      <c r="I1" s="715"/>
      <c r="J1" s="12"/>
      <c r="K1" s="12"/>
      <c r="L1" s="12"/>
      <c r="M1" s="12"/>
      <c r="N1" s="733"/>
    </row>
    <row r="2" spans="1:14" ht="12" customHeight="1">
      <c r="A2" s="728"/>
      <c r="B2" s="715"/>
      <c r="C2" s="728"/>
      <c r="D2" s="715"/>
      <c r="E2" s="715"/>
      <c r="F2" s="715"/>
      <c r="G2" s="715"/>
      <c r="H2" s="715"/>
      <c r="I2" s="715"/>
      <c r="J2" s="12"/>
      <c r="K2" s="12"/>
      <c r="L2" s="12"/>
      <c r="M2" s="12"/>
      <c r="N2" s="183"/>
    </row>
    <row r="3" spans="1:14" ht="36" customHeight="1" thickBot="1">
      <c r="A3" s="728"/>
      <c r="B3" s="717" t="s">
        <v>1601</v>
      </c>
      <c r="C3" s="731"/>
      <c r="D3" s="728"/>
      <c r="E3" s="732"/>
      <c r="F3" s="732"/>
      <c r="G3" s="732"/>
      <c r="H3" s="732"/>
      <c r="I3" s="732"/>
      <c r="J3" s="734"/>
      <c r="K3" s="734"/>
      <c r="L3" s="734"/>
      <c r="M3" s="734"/>
      <c r="N3" s="183"/>
    </row>
    <row r="4" spans="1:14" ht="42" customHeight="1" thickTop="1">
      <c r="A4" s="553"/>
      <c r="B4" s="1214" t="s">
        <v>2639</v>
      </c>
      <c r="C4" s="1214"/>
      <c r="D4" s="1214"/>
      <c r="E4" s="1214"/>
      <c r="F4" s="1214"/>
      <c r="G4" s="1214"/>
      <c r="H4" s="1214"/>
      <c r="I4" s="1214"/>
      <c r="J4" s="1214"/>
      <c r="K4" s="1214"/>
      <c r="L4" s="1214"/>
      <c r="M4" s="1214"/>
      <c r="N4" s="553"/>
    </row>
    <row r="5" spans="1:14" ht="27.65" customHeight="1">
      <c r="B5" s="1215" t="s">
        <v>25</v>
      </c>
      <c r="C5" s="1215"/>
      <c r="D5" s="484"/>
      <c r="E5" s="484"/>
      <c r="F5" s="484"/>
      <c r="G5" s="484"/>
      <c r="H5" s="484"/>
      <c r="I5" s="484"/>
      <c r="J5" s="484"/>
      <c r="K5" s="484"/>
      <c r="L5" s="484"/>
      <c r="M5" s="484"/>
    </row>
    <row r="6" spans="1:14" ht="15" customHeight="1">
      <c r="B6" s="554" t="s">
        <v>800</v>
      </c>
      <c r="C6" s="555" t="s">
        <v>799</v>
      </c>
      <c r="D6" s="484"/>
      <c r="E6" s="484"/>
      <c r="F6" s="484"/>
      <c r="G6" s="484"/>
      <c r="H6" s="484"/>
      <c r="I6" s="484"/>
      <c r="J6" s="484"/>
      <c r="K6" s="484"/>
      <c r="L6" s="484"/>
      <c r="M6" s="484"/>
    </row>
    <row r="7" spans="1:14" ht="18.649999999999999" customHeight="1">
      <c r="A7" s="485"/>
      <c r="B7" s="554" t="s">
        <v>798</v>
      </c>
      <c r="C7" s="132" t="s">
        <v>1804</v>
      </c>
      <c r="G7" s="334"/>
      <c r="H7" s="334"/>
      <c r="I7" s="334"/>
      <c r="J7" s="334"/>
      <c r="K7" s="334"/>
      <c r="L7" s="334"/>
      <c r="M7" s="334"/>
    </row>
    <row r="8" spans="1:14" ht="18.649999999999999" customHeight="1">
      <c r="B8" s="554" t="s">
        <v>797</v>
      </c>
      <c r="C8" s="132" t="s">
        <v>796</v>
      </c>
      <c r="G8" s="334"/>
      <c r="H8" s="334"/>
      <c r="I8" s="620"/>
      <c r="J8" s="621"/>
      <c r="K8" s="334"/>
      <c r="L8" s="334"/>
      <c r="M8" s="334"/>
    </row>
    <row r="9" spans="1:14" ht="19" customHeight="1">
      <c r="B9" s="554" t="s">
        <v>1350</v>
      </c>
      <c r="C9" s="132" t="s">
        <v>2221</v>
      </c>
      <c r="G9" s="335"/>
      <c r="H9" s="335"/>
      <c r="I9" s="618"/>
      <c r="J9" s="619"/>
      <c r="K9" s="334"/>
      <c r="L9" s="334"/>
      <c r="M9" s="334"/>
    </row>
    <row r="10" spans="1:14" ht="20.149999999999999" customHeight="1">
      <c r="C10" s="335"/>
      <c r="E10" s="473"/>
      <c r="G10" s="335"/>
      <c r="H10" s="335"/>
      <c r="I10" s="335"/>
      <c r="J10" s="335"/>
      <c r="K10" s="334"/>
      <c r="L10" s="334"/>
      <c r="M10" s="334"/>
    </row>
    <row r="11" spans="1:14" ht="24" thickBot="1">
      <c r="C11" s="330" t="s">
        <v>1583</v>
      </c>
      <c r="D11" s="328"/>
      <c r="I11" s="338" t="s">
        <v>1582</v>
      </c>
      <c r="J11" s="328"/>
      <c r="K11" s="334"/>
      <c r="L11" s="334"/>
      <c r="M11" s="334"/>
    </row>
    <row r="12" spans="1:14" ht="15" customHeight="1">
      <c r="K12" s="334"/>
      <c r="L12" s="334"/>
      <c r="M12" s="334"/>
    </row>
    <row r="13" spans="1:14" ht="15" customHeight="1">
      <c r="C13" s="294" t="s">
        <v>788</v>
      </c>
      <c r="D13" s="295"/>
      <c r="I13" s="294" t="s">
        <v>1571</v>
      </c>
      <c r="J13" s="295"/>
      <c r="L13" s="334"/>
      <c r="M13" s="334"/>
    </row>
    <row r="14" spans="1:14" ht="15" customHeight="1">
      <c r="K14" s="334"/>
      <c r="L14" s="334"/>
      <c r="M14" s="334"/>
    </row>
    <row r="15" spans="1:14" ht="15" customHeight="1">
      <c r="C15" s="38" t="s">
        <v>794</v>
      </c>
      <c r="D15" s="417"/>
      <c r="E15" s="706" t="s">
        <v>1093</v>
      </c>
      <c r="I15" s="38" t="s">
        <v>793</v>
      </c>
      <c r="J15" s="418"/>
      <c r="K15" s="706" t="s">
        <v>2299</v>
      </c>
      <c r="L15" s="334"/>
      <c r="M15" s="334"/>
    </row>
    <row r="16" spans="1:14" ht="15" hidden="1" customHeight="1">
      <c r="K16" s="334"/>
      <c r="L16" s="334"/>
      <c r="M16" s="334"/>
    </row>
    <row r="17" spans="3:13" ht="15" hidden="1" customHeight="1">
      <c r="C17" s="38" t="s">
        <v>1452</v>
      </c>
      <c r="D17" s="419"/>
      <c r="E17" s="486"/>
      <c r="I17" s="38" t="s">
        <v>792</v>
      </c>
      <c r="J17" s="336"/>
      <c r="K17" s="334"/>
      <c r="L17" s="334"/>
      <c r="M17" s="334"/>
    </row>
    <row r="18" spans="3:13" ht="15" hidden="1" customHeight="1">
      <c r="K18" s="334"/>
      <c r="L18" s="334"/>
      <c r="M18" s="334"/>
    </row>
    <row r="19" spans="3:13" ht="15" hidden="1" customHeight="1">
      <c r="C19" s="38" t="s">
        <v>791</v>
      </c>
      <c r="D19" s="337"/>
      <c r="E19" s="487"/>
      <c r="I19" s="38" t="s">
        <v>790</v>
      </c>
      <c r="J19" s="336"/>
      <c r="K19" s="334"/>
      <c r="L19" s="334"/>
      <c r="M19" s="334"/>
    </row>
    <row r="20" spans="3:13" ht="15" hidden="1" customHeight="1">
      <c r="K20" s="334"/>
      <c r="L20" s="334"/>
      <c r="M20" s="334"/>
    </row>
    <row r="21" spans="3:13" ht="15" hidden="1" customHeight="1">
      <c r="C21" s="294" t="s">
        <v>1091</v>
      </c>
      <c r="D21" s="419"/>
      <c r="I21" s="38" t="s">
        <v>1092</v>
      </c>
      <c r="J21" s="419"/>
      <c r="K21" s="334"/>
      <c r="L21" s="334"/>
      <c r="M21" s="334"/>
    </row>
    <row r="22" spans="3:13" ht="10" hidden="1" customHeight="1">
      <c r="C22" s="294"/>
      <c r="K22" s="334"/>
      <c r="L22" s="334"/>
      <c r="M22" s="334"/>
    </row>
    <row r="23" spans="3:13" ht="15" customHeight="1">
      <c r="K23" s="334"/>
      <c r="L23" s="334"/>
      <c r="M23" s="334"/>
    </row>
    <row r="24" spans="3:13" ht="24" customHeight="1" thickBot="1">
      <c r="C24" s="330" t="s">
        <v>1584</v>
      </c>
      <c r="D24" s="328"/>
      <c r="I24" s="338" t="s">
        <v>1585</v>
      </c>
      <c r="J24" s="328"/>
      <c r="K24" s="334"/>
      <c r="L24" s="334"/>
      <c r="M24" s="334"/>
    </row>
    <row r="25" spans="3:13" ht="15" customHeight="1">
      <c r="K25" s="334"/>
      <c r="L25" s="334"/>
      <c r="M25" s="334"/>
    </row>
    <row r="26" spans="3:13" ht="15" customHeight="1">
      <c r="C26" s="294" t="s">
        <v>788</v>
      </c>
      <c r="D26" s="295"/>
      <c r="I26" s="294" t="s">
        <v>1571</v>
      </c>
      <c r="J26" s="295"/>
      <c r="L26" s="334"/>
      <c r="M26" s="334"/>
    </row>
    <row r="27" spans="3:13" ht="15" customHeight="1">
      <c r="L27" s="334"/>
      <c r="M27" s="334"/>
    </row>
    <row r="28" spans="3:13" ht="15" customHeight="1">
      <c r="C28" s="38" t="s">
        <v>794</v>
      </c>
      <c r="D28" s="417"/>
      <c r="E28" s="706" t="s">
        <v>1093</v>
      </c>
      <c r="I28" s="38" t="s">
        <v>793</v>
      </c>
      <c r="J28" s="418"/>
      <c r="K28" s="706" t="s">
        <v>2299</v>
      </c>
      <c r="L28" s="334"/>
      <c r="M28" s="334"/>
    </row>
    <row r="29" spans="3:13" ht="15" hidden="1" customHeight="1">
      <c r="E29" s="486"/>
      <c r="K29" s="334"/>
      <c r="L29" s="334"/>
      <c r="M29" s="334"/>
    </row>
    <row r="30" spans="3:13" ht="15" hidden="1" customHeight="1">
      <c r="C30" s="38" t="s">
        <v>1452</v>
      </c>
      <c r="D30" s="419"/>
      <c r="I30" s="38" t="s">
        <v>792</v>
      </c>
      <c r="J30" s="336"/>
      <c r="K30" s="334"/>
      <c r="L30" s="334"/>
      <c r="M30" s="334"/>
    </row>
    <row r="31" spans="3:13" ht="15" hidden="1" customHeight="1">
      <c r="E31" s="487"/>
      <c r="K31" s="334"/>
      <c r="L31" s="334"/>
      <c r="M31" s="334"/>
    </row>
    <row r="32" spans="3:13" ht="15" hidden="1" customHeight="1">
      <c r="C32" s="38" t="s">
        <v>791</v>
      </c>
      <c r="D32" s="337"/>
      <c r="I32" s="38" t="s">
        <v>790</v>
      </c>
      <c r="J32" s="336"/>
      <c r="K32" s="334"/>
      <c r="L32" s="334"/>
      <c r="M32" s="334"/>
    </row>
    <row r="33" spans="2:13" ht="15" hidden="1" customHeight="1">
      <c r="E33" s="487"/>
      <c r="K33" s="334"/>
      <c r="L33" s="334"/>
      <c r="M33" s="334"/>
    </row>
    <row r="34" spans="2:13" ht="15" hidden="1" customHeight="1">
      <c r="C34" s="38" t="s">
        <v>789</v>
      </c>
      <c r="D34" s="337"/>
      <c r="I34" s="38" t="s">
        <v>1092</v>
      </c>
      <c r="J34" s="419"/>
      <c r="K34" s="334"/>
      <c r="L34" s="334"/>
      <c r="M34" s="334"/>
    </row>
    <row r="35" spans="2:13" ht="15" hidden="1" customHeight="1">
      <c r="C35" s="294"/>
      <c r="K35" s="334"/>
      <c r="L35" s="334"/>
      <c r="M35" s="334"/>
    </row>
    <row r="36" spans="2:13" ht="15" hidden="1" customHeight="1">
      <c r="C36" s="294" t="s">
        <v>1091</v>
      </c>
      <c r="D36" s="419"/>
      <c r="K36" s="334"/>
      <c r="L36" s="334"/>
      <c r="M36" s="334"/>
    </row>
    <row r="37" spans="2:13" ht="15" customHeight="1">
      <c r="C37" s="294"/>
      <c r="K37" s="334"/>
      <c r="L37" s="334"/>
      <c r="M37" s="334"/>
    </row>
    <row r="38" spans="2:13" ht="22" customHeight="1">
      <c r="C38" s="1217" t="s">
        <v>2069</v>
      </c>
      <c r="D38" s="1217"/>
      <c r="E38" s="1217"/>
      <c r="F38" s="1217"/>
      <c r="G38" s="1217"/>
      <c r="H38" s="1217"/>
      <c r="I38" s="1217"/>
      <c r="J38" s="1217"/>
      <c r="K38" s="334"/>
      <c r="L38" s="334"/>
      <c r="M38" s="334"/>
    </row>
    <row r="39" spans="2:13" ht="31" customHeight="1">
      <c r="B39" s="53"/>
      <c r="C39" s="615" t="s">
        <v>2222</v>
      </c>
      <c r="D39" s="53"/>
      <c r="E39" s="53"/>
      <c r="F39" s="53"/>
      <c r="G39" s="53"/>
      <c r="H39" s="53"/>
      <c r="I39" s="53"/>
      <c r="J39" s="53"/>
      <c r="K39" s="53"/>
      <c r="L39" s="53"/>
      <c r="M39" s="53"/>
    </row>
    <row r="40" spans="2:13" s="139" customFormat="1" ht="40" customHeight="1">
      <c r="B40" s="331"/>
      <c r="C40" s="759" t="s">
        <v>2359</v>
      </c>
      <c r="K40" s="38"/>
    </row>
    <row r="41" spans="2:13" s="139" customFormat="1" ht="14.5" customHeight="1">
      <c r="B41"/>
      <c r="F41" s="557" t="s">
        <v>800</v>
      </c>
      <c r="G41" s="132" t="s">
        <v>2640</v>
      </c>
    </row>
    <row r="42" spans="2:13" s="139" customFormat="1" ht="14.5" customHeight="1">
      <c r="B42" s="331"/>
      <c r="D42"/>
      <c r="F42" s="558" t="s">
        <v>798</v>
      </c>
      <c r="G42" s="556" t="s">
        <v>1822</v>
      </c>
      <c r="K42" s="143"/>
    </row>
    <row r="43" spans="2:13" s="139" customFormat="1" ht="14.5" customHeight="1">
      <c r="B43" s="331"/>
      <c r="C43"/>
      <c r="F43" s="558" t="s">
        <v>797</v>
      </c>
      <c r="G43" s="155" t="s">
        <v>1603</v>
      </c>
      <c r="K43" s="38"/>
    </row>
    <row r="44" spans="2:13" s="139" customFormat="1" ht="14.5" customHeight="1">
      <c r="B44" s="331"/>
      <c r="F44" s="558" t="s">
        <v>1350</v>
      </c>
      <c r="G44" s="132" t="s">
        <v>1820</v>
      </c>
      <c r="K44" s="38"/>
    </row>
    <row r="45" spans="2:13" s="139" customFormat="1" ht="14.5" customHeight="1">
      <c r="B45" s="331"/>
      <c r="F45" s="558" t="s">
        <v>1602</v>
      </c>
      <c r="G45" s="132" t="s">
        <v>1819</v>
      </c>
    </row>
    <row r="46" spans="2:13" s="139" customFormat="1" ht="14.15" customHeight="1">
      <c r="F46" s="558" t="s">
        <v>1817</v>
      </c>
      <c r="G46" s="132" t="s">
        <v>2074</v>
      </c>
      <c r="I46" s="294"/>
      <c r="J46" s="510"/>
      <c r="K46" s="488"/>
    </row>
    <row r="47" spans="2:13">
      <c r="K47" s="1216" t="str">
        <f>IF(D48="","",IF(Qualifying_Index!U96=1,"","*Please note the rebate cannot be higher than the Total Project Cost"))</f>
        <v/>
      </c>
      <c r="L47" s="1216"/>
      <c r="M47" s="1216"/>
    </row>
    <row r="48" spans="2:13" ht="15" customHeight="1">
      <c r="C48" s="38" t="s">
        <v>1187</v>
      </c>
      <c r="D48" s="464"/>
      <c r="I48" s="38" t="s">
        <v>1188</v>
      </c>
      <c r="J48" s="105" t="str">
        <f>IF(OR(D48="",SUM(Qualifying_Index!C103:C105)=0),"",SUM(Qualifying_Index!D103:D105))</f>
        <v/>
      </c>
      <c r="K48" s="1216"/>
      <c r="L48" s="1216"/>
      <c r="M48" s="1216"/>
    </row>
    <row r="49" spans="3:13">
      <c r="K49" s="1216"/>
      <c r="L49" s="1216"/>
      <c r="M49" s="1216"/>
    </row>
    <row r="50" spans="3:13" ht="24" thickBot="1">
      <c r="C50" s="333" t="s">
        <v>782</v>
      </c>
      <c r="D50" s="328"/>
      <c r="E50" s="328"/>
      <c r="I50" s="330" t="s">
        <v>781</v>
      </c>
      <c r="J50" s="328"/>
    </row>
    <row r="51" spans="3:13"/>
    <row r="52" spans="3:13">
      <c r="C52" s="294" t="s">
        <v>786</v>
      </c>
      <c r="D52" s="332"/>
      <c r="I52" s="294" t="s">
        <v>786</v>
      </c>
      <c r="J52" s="90"/>
    </row>
    <row r="53" spans="3:13">
      <c r="C53" s="294"/>
      <c r="I53" s="294"/>
    </row>
    <row r="54" spans="3:13">
      <c r="C54" s="294" t="s">
        <v>1087</v>
      </c>
      <c r="D54" s="332"/>
      <c r="I54" s="294" t="s">
        <v>1087</v>
      </c>
      <c r="J54" s="332"/>
      <c r="K54" s="141"/>
    </row>
    <row r="55" spans="3:13">
      <c r="C55" s="294"/>
      <c r="I55" s="294"/>
      <c r="K55" s="141"/>
    </row>
    <row r="56" spans="3:13" ht="29.5" customHeight="1">
      <c r="C56" s="489" t="s">
        <v>1815</v>
      </c>
      <c r="D56" s="561"/>
      <c r="E56" s="787"/>
      <c r="I56" s="489" t="s">
        <v>1815</v>
      </c>
      <c r="J56" s="616"/>
      <c r="K56" s="787"/>
    </row>
    <row r="57" spans="3:13" ht="14.5" customHeight="1">
      <c r="C57" s="489"/>
      <c r="D57" s="562"/>
      <c r="E57" s="1011"/>
      <c r="I57" s="489"/>
      <c r="J57" s="560"/>
      <c r="K57" s="1011"/>
    </row>
    <row r="58" spans="3:13" ht="29.5" customHeight="1">
      <c r="C58" s="491" t="s">
        <v>1816</v>
      </c>
      <c r="D58" s="561"/>
      <c r="E58" s="787"/>
      <c r="I58" s="491" t="s">
        <v>1816</v>
      </c>
      <c r="J58" s="616"/>
      <c r="K58" s="787"/>
    </row>
    <row r="59" spans="3:13" ht="14.5" customHeight="1">
      <c r="C59" s="491"/>
      <c r="D59" s="560"/>
      <c r="E59" s="141"/>
      <c r="J59" s="560"/>
      <c r="K59" s="141"/>
    </row>
    <row r="60" spans="3:13" ht="29.5" customHeight="1">
      <c r="C60" s="491" t="s">
        <v>1813</v>
      </c>
      <c r="D60" s="631"/>
      <c r="E60" s="787" t="s">
        <v>1814</v>
      </c>
      <c r="I60" s="491" t="s">
        <v>1813</v>
      </c>
      <c r="J60" s="631"/>
      <c r="K60" s="787" t="s">
        <v>1814</v>
      </c>
    </row>
    <row r="61" spans="3:13" ht="14.5" customHeight="1">
      <c r="C61" s="491"/>
      <c r="E61" s="141"/>
      <c r="K61" s="141"/>
    </row>
    <row r="62" spans="3:13" ht="29.5" customHeight="1">
      <c r="C62" s="294" t="s">
        <v>1235</v>
      </c>
      <c r="D62" s="437"/>
      <c r="E62" s="141"/>
      <c r="I62" s="38" t="s">
        <v>1235</v>
      </c>
      <c r="J62" s="437"/>
      <c r="K62" s="141"/>
    </row>
    <row r="63" spans="3:13" ht="29.5" customHeight="1">
      <c r="C63" s="491"/>
      <c r="K63" s="141"/>
    </row>
    <row r="64" spans="3:13" ht="29.5" customHeight="1" thickBot="1">
      <c r="C64" s="333" t="s">
        <v>780</v>
      </c>
      <c r="D64" s="328"/>
      <c r="E64" s="328"/>
      <c r="K64" s="141"/>
    </row>
    <row r="65" spans="2:14" ht="14.5" customHeight="1">
      <c r="K65" s="141"/>
    </row>
    <row r="66" spans="2:14" ht="14.5" customHeight="1">
      <c r="C66" s="294" t="s">
        <v>786</v>
      </c>
      <c r="D66" s="332"/>
      <c r="E66" s="141"/>
      <c r="K66" s="141"/>
    </row>
    <row r="67" spans="2:14" ht="14.5" customHeight="1">
      <c r="C67" s="294"/>
      <c r="E67" s="141"/>
      <c r="K67" s="141"/>
    </row>
    <row r="68" spans="2:14" ht="14.5" customHeight="1">
      <c r="C68" s="294" t="s">
        <v>1087</v>
      </c>
      <c r="D68" s="332"/>
      <c r="E68" s="141"/>
      <c r="F68" s="492"/>
      <c r="K68" s="141"/>
    </row>
    <row r="69" spans="2:14" ht="14.5" customHeight="1">
      <c r="C69" s="294"/>
      <c r="E69" s="141"/>
      <c r="K69" s="141"/>
    </row>
    <row r="70" spans="2:14" ht="29.5" customHeight="1">
      <c r="C70" s="489" t="s">
        <v>1815</v>
      </c>
      <c r="D70" s="616"/>
      <c r="E70" s="787"/>
      <c r="F70" s="493"/>
      <c r="G70" s="493"/>
      <c r="H70" s="493"/>
      <c r="I70" s="493"/>
      <c r="J70" s="493"/>
      <c r="K70" s="1012"/>
      <c r="L70" s="493"/>
      <c r="M70" s="493"/>
      <c r="N70" s="493"/>
    </row>
    <row r="71" spans="2:14" ht="15" customHeight="1">
      <c r="C71" s="489"/>
      <c r="D71" s="560"/>
      <c r="E71" s="1011"/>
      <c r="F71" s="493"/>
      <c r="G71" s="493"/>
      <c r="H71" s="493"/>
      <c r="I71" s="493"/>
      <c r="J71" s="493"/>
      <c r="K71" s="493"/>
      <c r="L71" s="493"/>
      <c r="M71" s="493"/>
      <c r="N71" s="493"/>
    </row>
    <row r="72" spans="2:14" ht="29.5" customHeight="1">
      <c r="C72" s="491" t="s">
        <v>1816</v>
      </c>
      <c r="D72" s="616"/>
      <c r="E72" s="787"/>
      <c r="F72" s="493"/>
      <c r="G72" s="493"/>
      <c r="H72" s="493"/>
      <c r="I72" s="493"/>
      <c r="J72" s="493"/>
      <c r="K72" s="493"/>
      <c r="L72" s="493"/>
      <c r="M72" s="493"/>
      <c r="N72" s="493"/>
    </row>
    <row r="73" spans="2:14" ht="15" customHeight="1">
      <c r="C73" s="491"/>
      <c r="D73" s="560"/>
      <c r="E73" s="141"/>
      <c r="F73" s="493"/>
      <c r="G73" s="493"/>
      <c r="H73" s="493"/>
      <c r="I73" s="493"/>
      <c r="J73" s="493"/>
      <c r="K73" s="493"/>
      <c r="L73" s="493"/>
      <c r="M73" s="493"/>
      <c r="N73" s="493"/>
    </row>
    <row r="74" spans="2:14" ht="29.5" customHeight="1">
      <c r="C74" s="491" t="s">
        <v>1813</v>
      </c>
      <c r="D74" s="437"/>
      <c r="E74" s="787" t="s">
        <v>1814</v>
      </c>
      <c r="F74" s="493"/>
      <c r="G74" s="493"/>
      <c r="H74" s="493"/>
      <c r="I74" s="493"/>
      <c r="J74" s="493"/>
      <c r="K74" s="493"/>
      <c r="L74" s="493"/>
      <c r="M74" s="493"/>
      <c r="N74" s="493"/>
    </row>
    <row r="75" spans="2:14" ht="15" customHeight="1">
      <c r="C75" s="491"/>
      <c r="E75" s="141"/>
      <c r="F75" s="493"/>
      <c r="G75" s="493"/>
      <c r="H75" s="493"/>
      <c r="I75" s="493"/>
      <c r="J75" s="493"/>
      <c r="K75" s="493"/>
      <c r="L75" s="493"/>
      <c r="M75" s="493"/>
      <c r="N75" s="493"/>
    </row>
    <row r="76" spans="2:14" ht="29.5" customHeight="1">
      <c r="C76" s="491" t="s">
        <v>1235</v>
      </c>
      <c r="D76" s="437"/>
      <c r="E76" s="141"/>
      <c r="F76" s="493"/>
      <c r="G76" s="493"/>
      <c r="H76" s="493"/>
      <c r="I76" s="493"/>
      <c r="J76" s="493"/>
      <c r="K76" s="493"/>
      <c r="L76" s="493"/>
      <c r="M76" s="493"/>
      <c r="N76" s="493"/>
    </row>
    <row r="77" spans="2:14" ht="16.5" customHeight="1">
      <c r="E77" s="1011"/>
      <c r="F77" s="493"/>
      <c r="G77" s="493"/>
      <c r="H77" s="493"/>
      <c r="I77" s="493"/>
      <c r="J77" s="493"/>
      <c r="K77" s="493"/>
      <c r="L77" s="493"/>
      <c r="M77" s="493"/>
      <c r="N77" s="493"/>
    </row>
    <row r="78" spans="2:14" ht="16.5" customHeight="1">
      <c r="G78" s="53"/>
      <c r="H78" s="53"/>
      <c r="I78" s="53"/>
      <c r="J78" s="53"/>
    </row>
    <row r="79" spans="2:14" ht="40" customHeight="1">
      <c r="B79" s="433"/>
      <c r="C79" s="433" t="s">
        <v>2360</v>
      </c>
      <c r="D79" s="44"/>
      <c r="E79" s="44"/>
      <c r="F79" s="44"/>
      <c r="K79" s="44"/>
      <c r="L79" s="44"/>
      <c r="M79" s="44"/>
    </row>
    <row r="80" spans="2:14">
      <c r="C80" s="294"/>
      <c r="D80"/>
      <c r="F80" s="557" t="s">
        <v>800</v>
      </c>
      <c r="G80" s="70" t="s">
        <v>2111</v>
      </c>
    </row>
    <row r="81" spans="3:13">
      <c r="F81" s="558" t="s">
        <v>798</v>
      </c>
      <c r="G81" s="132" t="s">
        <v>2072</v>
      </c>
      <c r="K81" s="563"/>
      <c r="L81" s="563"/>
      <c r="M81" s="563"/>
    </row>
    <row r="82" spans="3:13">
      <c r="F82" s="558" t="s">
        <v>797</v>
      </c>
      <c r="G82" s="155" t="s">
        <v>2073</v>
      </c>
      <c r="K82" s="563"/>
      <c r="L82" s="563"/>
      <c r="M82" s="563"/>
    </row>
    <row r="83" spans="3:13">
      <c r="F83" s="558" t="s">
        <v>1350</v>
      </c>
      <c r="G83" s="132" t="s">
        <v>1823</v>
      </c>
      <c r="K83" s="563"/>
      <c r="L83" s="563"/>
      <c r="M83" s="563"/>
    </row>
    <row r="84" spans="3:13">
      <c r="F84" s="558" t="s">
        <v>1602</v>
      </c>
      <c r="G84" s="132" t="s">
        <v>1812</v>
      </c>
      <c r="K84" s="563"/>
      <c r="L84" s="563"/>
      <c r="M84" s="563"/>
    </row>
    <row r="85" spans="3:13" ht="14.5" customHeight="1">
      <c r="K85" s="1218" t="str">
        <f>IF(D87="","",IF(Qualifying_Index!U96=1,"","*Please note the rebate cannot be higher than the Total Project Cost"))</f>
        <v/>
      </c>
      <c r="L85" s="1218"/>
      <c r="M85" s="1218"/>
    </row>
    <row r="86" spans="3:13">
      <c r="K86" s="1218"/>
      <c r="L86" s="1218"/>
      <c r="M86" s="1218"/>
    </row>
    <row r="87" spans="3:13">
      <c r="C87" s="38" t="s">
        <v>1187</v>
      </c>
      <c r="D87" s="464"/>
      <c r="E87" s="141"/>
      <c r="I87" s="38" t="s">
        <v>1188</v>
      </c>
      <c r="J87" s="105" t="str">
        <f>IF(OR(D87="",SUM(Qualifying_Index!C114)=0),"",Qualifying_Index!D114)</f>
        <v/>
      </c>
      <c r="K87" s="1218"/>
      <c r="L87" s="1218"/>
      <c r="M87" s="1218"/>
    </row>
    <row r="88" spans="3:13" ht="24" thickBot="1">
      <c r="C88" s="330" t="s">
        <v>782</v>
      </c>
      <c r="D88" s="328"/>
      <c r="E88" s="328"/>
      <c r="I88" s="329"/>
      <c r="J88" s="329"/>
      <c r="K88" s="563"/>
    </row>
    <row r="89" spans="3:13">
      <c r="G89" s="141"/>
    </row>
    <row r="90" spans="3:13">
      <c r="C90" s="294" t="s">
        <v>2135</v>
      </c>
      <c r="D90" s="1211"/>
      <c r="E90" s="1211"/>
      <c r="F90" s="1211"/>
      <c r="G90" s="141"/>
      <c r="I90" s="294"/>
    </row>
    <row r="91" spans="3:13">
      <c r="C91" s="294"/>
      <c r="G91" s="141"/>
      <c r="I91" s="294"/>
    </row>
    <row r="92" spans="3:13">
      <c r="C92" s="294" t="s">
        <v>2641</v>
      </c>
      <c r="D92" s="434"/>
      <c r="E92" s="494"/>
      <c r="G92" s="141"/>
      <c r="I92" s="294"/>
      <c r="J92" s="494"/>
    </row>
    <row r="93" spans="3:13">
      <c r="C93" s="294"/>
      <c r="G93" s="141"/>
      <c r="I93" s="294"/>
    </row>
    <row r="94" spans="3:13">
      <c r="C94" s="294" t="s">
        <v>2642</v>
      </c>
      <c r="D94" s="434"/>
      <c r="E94" s="494"/>
      <c r="G94" s="141"/>
      <c r="I94" s="294"/>
      <c r="J94" s="494"/>
    </row>
    <row r="95" spans="3:13">
      <c r="C95" s="294"/>
      <c r="G95" s="141"/>
      <c r="I95" s="294"/>
    </row>
    <row r="96" spans="3:13" ht="16.5" customHeight="1">
      <c r="C96" s="1124" t="s">
        <v>784</v>
      </c>
      <c r="G96" s="141"/>
      <c r="I96" s="1124"/>
    </row>
    <row r="97" spans="2:13">
      <c r="C97" s="1124"/>
      <c r="D97" s="503"/>
      <c r="E97" s="490"/>
      <c r="G97" s="141"/>
      <c r="I97" s="1124"/>
      <c r="J97" s="495"/>
    </row>
    <row r="98" spans="2:13" ht="21" customHeight="1"/>
    <row r="99" spans="2:13" ht="17.149999999999999" customHeight="1">
      <c r="D99" s="53"/>
    </row>
    <row r="100" spans="2:13" ht="40" customHeight="1">
      <c r="B100" s="433"/>
      <c r="C100" s="433" t="s">
        <v>2361</v>
      </c>
      <c r="D100" s="8"/>
      <c r="E100" s="44"/>
      <c r="F100" s="44"/>
      <c r="G100" s="44"/>
      <c r="H100" s="44"/>
      <c r="I100" s="44"/>
      <c r="J100" s="44"/>
      <c r="K100" s="44"/>
      <c r="L100" s="44"/>
      <c r="M100" s="44"/>
    </row>
    <row r="101" spans="2:13">
      <c r="D101" s="143"/>
      <c r="F101" s="557" t="s">
        <v>800</v>
      </c>
      <c r="G101" s="70" t="s">
        <v>2112</v>
      </c>
      <c r="H101" s="132"/>
    </row>
    <row r="102" spans="2:13" ht="15" customHeight="1">
      <c r="E102"/>
      <c r="F102" s="558" t="s">
        <v>798</v>
      </c>
      <c r="G102" s="132" t="s">
        <v>2075</v>
      </c>
      <c r="H102" s="132"/>
      <c r="K102" s="564" t="s">
        <v>1824</v>
      </c>
      <c r="M102" s="563"/>
    </row>
    <row r="103" spans="2:13" ht="15" customHeight="1">
      <c r="F103" s="558" t="s">
        <v>797</v>
      </c>
      <c r="G103" s="155" t="s">
        <v>2076</v>
      </c>
      <c r="H103" s="132"/>
      <c r="L103" s="563"/>
      <c r="M103" s="563"/>
    </row>
    <row r="104" spans="2:13" ht="15" customHeight="1">
      <c r="F104" s="558" t="s">
        <v>1350</v>
      </c>
      <c r="G104" s="132" t="s">
        <v>1818</v>
      </c>
      <c r="H104" s="132"/>
      <c r="K104" s="563"/>
      <c r="L104" s="563"/>
      <c r="M104" s="563"/>
    </row>
    <row r="105" spans="2:13" ht="15" customHeight="1">
      <c r="F105" s="552"/>
      <c r="G105" s="294"/>
      <c r="K105" s="563"/>
      <c r="L105" s="563"/>
      <c r="M105" s="563"/>
    </row>
    <row r="106" spans="2:13">
      <c r="G106" s="39"/>
      <c r="K106" s="1213" t="str">
        <f>IF(D107="","",IF(Qualifying_Index!U96=1,"","*Please note the rebate cannot be higher than the Total Project Cost"))</f>
        <v/>
      </c>
      <c r="L106" s="1213"/>
      <c r="M106" s="1213"/>
    </row>
    <row r="107" spans="2:13" ht="14.5" customHeight="1">
      <c r="C107" s="38" t="s">
        <v>1187</v>
      </c>
      <c r="D107" s="464"/>
      <c r="E107" s="141"/>
      <c r="G107" s="39"/>
      <c r="I107" s="38" t="s">
        <v>1188</v>
      </c>
      <c r="J107" s="105" t="str">
        <f>IF(OR(D107="",SUM(Qualifying_Index!C120:C124)=0),"",SUM(Qualifying_Index!D120:D124))</f>
        <v/>
      </c>
      <c r="K107" s="1213"/>
      <c r="L107" s="1213"/>
      <c r="M107" s="1213"/>
    </row>
    <row r="108" spans="2:13" ht="24" thickBot="1">
      <c r="C108" s="328" t="s">
        <v>782</v>
      </c>
      <c r="D108" s="328"/>
      <c r="E108" s="328"/>
      <c r="I108" s="328" t="s">
        <v>781</v>
      </c>
      <c r="J108" s="328"/>
    </row>
    <row r="109" spans="2:13">
      <c r="D109" s="39"/>
    </row>
    <row r="110" spans="2:13">
      <c r="C110" s="294" t="s">
        <v>777</v>
      </c>
      <c r="D110" s="90"/>
      <c r="E110" s="141"/>
      <c r="I110" s="294" t="s">
        <v>777</v>
      </c>
      <c r="J110" s="90"/>
      <c r="K110" s="141"/>
    </row>
    <row r="111" spans="2:13">
      <c r="C111" s="294"/>
      <c r="E111" s="141"/>
      <c r="I111" s="294"/>
      <c r="K111" s="141"/>
    </row>
    <row r="112" spans="2:13" ht="26.5" customHeight="1">
      <c r="C112" s="489" t="s">
        <v>1186</v>
      </c>
      <c r="D112" s="435"/>
      <c r="E112" s="1011"/>
      <c r="I112" s="489" t="s">
        <v>1186</v>
      </c>
      <c r="J112" s="435"/>
      <c r="K112" s="1011"/>
    </row>
    <row r="113" spans="3:11">
      <c r="C113" s="294"/>
      <c r="E113" s="141"/>
      <c r="I113" s="294"/>
      <c r="K113" s="141"/>
    </row>
    <row r="114" spans="3:11">
      <c r="C114" s="294" t="s">
        <v>776</v>
      </c>
      <c r="D114" s="327"/>
      <c r="E114" s="1013"/>
      <c r="I114" s="294" t="s">
        <v>776</v>
      </c>
      <c r="J114" s="327"/>
      <c r="K114" s="1013"/>
    </row>
    <row r="115" spans="3:11">
      <c r="C115" s="294"/>
      <c r="D115" s="494"/>
      <c r="E115" s="1013"/>
      <c r="I115" s="294"/>
      <c r="K115" s="1013"/>
    </row>
    <row r="116" spans="3:11">
      <c r="C116" s="294" t="s">
        <v>775</v>
      </c>
      <c r="D116" s="327"/>
      <c r="E116" s="1013"/>
      <c r="I116" s="294" t="s">
        <v>775</v>
      </c>
      <c r="J116" s="327"/>
      <c r="K116" s="1013"/>
    </row>
    <row r="117" spans="3:11">
      <c r="K117" s="141"/>
    </row>
    <row r="118" spans="3:11" ht="24" thickBot="1">
      <c r="C118" s="328" t="s">
        <v>780</v>
      </c>
      <c r="D118" s="328"/>
      <c r="E118" s="328"/>
      <c r="I118" s="328" t="s">
        <v>779</v>
      </c>
      <c r="J118" s="328"/>
      <c r="K118" s="141"/>
    </row>
    <row r="119" spans="3:11">
      <c r="D119" s="39"/>
      <c r="K119" s="141"/>
    </row>
    <row r="120" spans="3:11">
      <c r="C120" s="294" t="s">
        <v>777</v>
      </c>
      <c r="D120" s="90"/>
      <c r="E120" s="141"/>
      <c r="F120" s="141"/>
      <c r="I120" s="294" t="s">
        <v>777</v>
      </c>
      <c r="J120" s="90"/>
      <c r="K120" s="141"/>
    </row>
    <row r="121" spans="3:11">
      <c r="C121" s="294"/>
      <c r="E121" s="141"/>
      <c r="F121" s="141"/>
      <c r="I121" s="294"/>
      <c r="K121" s="141"/>
    </row>
    <row r="122" spans="3:11" ht="26.5" customHeight="1">
      <c r="C122" s="489" t="s">
        <v>1186</v>
      </c>
      <c r="D122" s="435"/>
      <c r="E122" s="1011"/>
      <c r="F122" s="141"/>
      <c r="I122" s="489" t="s">
        <v>1186</v>
      </c>
      <c r="J122" s="435"/>
      <c r="K122" s="1011"/>
    </row>
    <row r="123" spans="3:11">
      <c r="C123" s="294"/>
      <c r="E123" s="141"/>
      <c r="F123" s="141"/>
      <c r="I123" s="294"/>
      <c r="K123" s="141"/>
    </row>
    <row r="124" spans="3:11">
      <c r="C124" s="294" t="s">
        <v>776</v>
      </c>
      <c r="D124" s="327"/>
      <c r="E124" s="1013"/>
      <c r="F124" s="141"/>
      <c r="I124" s="294" t="s">
        <v>776</v>
      </c>
      <c r="J124" s="327"/>
      <c r="K124" s="1013"/>
    </row>
    <row r="125" spans="3:11">
      <c r="C125" s="294"/>
      <c r="D125" s="494"/>
      <c r="E125" s="1013"/>
      <c r="F125" s="141"/>
      <c r="I125" s="294"/>
      <c r="K125" s="1013"/>
    </row>
    <row r="126" spans="3:11">
      <c r="C126" s="294" t="s">
        <v>775</v>
      </c>
      <c r="D126" s="327"/>
      <c r="E126" s="1013"/>
      <c r="F126" s="141"/>
      <c r="I126" s="294" t="s">
        <v>775</v>
      </c>
      <c r="J126" s="327"/>
      <c r="K126" s="1013"/>
    </row>
    <row r="127" spans="3:11"/>
    <row r="128" spans="3:11" ht="24" thickBot="1">
      <c r="C128" s="328" t="s">
        <v>778</v>
      </c>
      <c r="D128" s="328"/>
      <c r="E128" s="328"/>
    </row>
    <row r="129" spans="2:13"/>
    <row r="130" spans="2:13">
      <c r="C130" s="294" t="s">
        <v>777</v>
      </c>
      <c r="D130" s="90"/>
      <c r="E130" s="141"/>
    </row>
    <row r="131" spans="2:13">
      <c r="C131" s="294"/>
      <c r="E131" s="141"/>
    </row>
    <row r="132" spans="2:13" ht="26.5" customHeight="1">
      <c r="C132" s="489" t="s">
        <v>1186</v>
      </c>
      <c r="D132" s="435"/>
      <c r="E132" s="1011"/>
      <c r="F132" s="38" t="s">
        <v>2113</v>
      </c>
    </row>
    <row r="133" spans="2:13">
      <c r="C133" s="294"/>
      <c r="E133" s="141"/>
    </row>
    <row r="134" spans="2:13">
      <c r="C134" s="294" t="s">
        <v>776</v>
      </c>
      <c r="D134" s="327"/>
      <c r="E134" s="1013"/>
    </row>
    <row r="135" spans="2:13">
      <c r="C135" s="294"/>
      <c r="D135" s="494"/>
      <c r="E135" s="1013"/>
    </row>
    <row r="136" spans="2:13">
      <c r="C136" s="294" t="s">
        <v>775</v>
      </c>
      <c r="D136" s="327"/>
      <c r="E136" s="1013"/>
    </row>
    <row r="137" spans="2:13">
      <c r="E137" s="141"/>
    </row>
    <row r="138" spans="2:13"/>
    <row r="139" spans="2:13"/>
    <row r="140" spans="2:13" ht="40" customHeight="1">
      <c r="B140" s="433"/>
      <c r="C140" s="433" t="s">
        <v>2362</v>
      </c>
      <c r="D140" s="44"/>
      <c r="E140" s="44"/>
      <c r="F140" s="44"/>
      <c r="G140" s="44"/>
      <c r="H140" s="44"/>
      <c r="I140" s="44"/>
      <c r="J140" s="44"/>
      <c r="K140" s="44"/>
      <c r="L140" s="44"/>
      <c r="M140" s="44"/>
    </row>
    <row r="141" spans="2:13">
      <c r="D141"/>
      <c r="F141" s="557" t="s">
        <v>800</v>
      </c>
      <c r="G141" s="132" t="s">
        <v>1604</v>
      </c>
    </row>
    <row r="142" spans="2:13">
      <c r="F142" s="558" t="s">
        <v>798</v>
      </c>
      <c r="G142" s="155" t="s">
        <v>2212</v>
      </c>
    </row>
    <row r="143" spans="2:13">
      <c r="F143" s="558" t="s">
        <v>797</v>
      </c>
      <c r="G143" s="132" t="s">
        <v>2056</v>
      </c>
    </row>
    <row r="144" spans="2:13"/>
    <row r="145" spans="2:13" ht="14.5" customHeight="1">
      <c r="K145" s="1212" t="str">
        <f>IF(D147="","",IF(Qualifying_Index!U96=1,"","*Please note the rebate cannot be higher than the Total Project Cost"))</f>
        <v/>
      </c>
      <c r="L145" s="1212"/>
      <c r="M145" s="1212"/>
    </row>
    <row r="146" spans="2:13">
      <c r="K146" s="1212"/>
      <c r="L146" s="1212"/>
      <c r="M146" s="1212"/>
    </row>
    <row r="147" spans="2:13">
      <c r="C147" s="38" t="s">
        <v>1187</v>
      </c>
      <c r="D147" s="464"/>
      <c r="E147" s="141"/>
      <c r="I147" s="38" t="s">
        <v>1188</v>
      </c>
      <c r="J147" s="105" t="str">
        <f>IF(OR(D147="",SUM(Qualifying_Index!C135)=0),"",Qualifying_Index!D135)</f>
        <v/>
      </c>
      <c r="K147" s="1212"/>
      <c r="L147" s="1212"/>
      <c r="M147" s="1212"/>
    </row>
    <row r="148" spans="2:13" ht="23.5" customHeight="1" thickBot="1">
      <c r="C148" s="330" t="s">
        <v>1572</v>
      </c>
      <c r="D148" s="509"/>
      <c r="E148" s="786"/>
      <c r="J148" s="712" t="str">
        <f>IF(AND(D147&lt;&gt;"",OR('Customer Information'!L17="",'Customer Information'!L17=0)),"*Please Enter the Daily Facility Hours on the Customer Information tab*","")</f>
        <v/>
      </c>
    </row>
    <row r="149" spans="2:13">
      <c r="E149" s="141"/>
    </row>
    <row r="150" spans="2:13">
      <c r="C150" s="294" t="s">
        <v>1573</v>
      </c>
      <c r="D150" s="434"/>
      <c r="E150" s="141"/>
    </row>
    <row r="151" spans="2:13">
      <c r="E151" s="141"/>
    </row>
    <row r="152" spans="2:13">
      <c r="C152" s="294" t="s">
        <v>1574</v>
      </c>
      <c r="D152" s="434"/>
      <c r="E152" s="787" t="s">
        <v>2091</v>
      </c>
    </row>
    <row r="153" spans="2:13">
      <c r="E153" s="141"/>
    </row>
    <row r="154" spans="2:13">
      <c r="C154" s="294" t="s">
        <v>2213</v>
      </c>
      <c r="D154" s="434"/>
      <c r="E154" s="787" t="s">
        <v>2091</v>
      </c>
    </row>
    <row r="155" spans="2:13"/>
    <row r="156" spans="2:13"/>
    <row r="157" spans="2:13"/>
    <row r="158" spans="2:13" ht="41.15" customHeight="1">
      <c r="B158" s="433"/>
      <c r="C158" s="433" t="s">
        <v>2363</v>
      </c>
      <c r="D158" s="8"/>
      <c r="E158" s="44"/>
      <c r="F158" s="44"/>
      <c r="G158" s="44"/>
      <c r="H158" s="44"/>
      <c r="I158" s="44"/>
      <c r="J158" s="44"/>
      <c r="K158" s="44"/>
      <c r="L158" s="44"/>
      <c r="M158" s="44"/>
    </row>
    <row r="159" spans="2:13">
      <c r="D159" s="143"/>
      <c r="F159" s="557" t="s">
        <v>800</v>
      </c>
      <c r="G159" s="132" t="s">
        <v>2077</v>
      </c>
    </row>
    <row r="160" spans="2:13">
      <c r="F160" s="558" t="s">
        <v>798</v>
      </c>
      <c r="G160" s="132" t="s">
        <v>2078</v>
      </c>
    </row>
    <row r="161" spans="3:13">
      <c r="F161" s="558" t="s">
        <v>797</v>
      </c>
      <c r="G161" s="132" t="s">
        <v>2079</v>
      </c>
    </row>
    <row r="162" spans="3:13">
      <c r="F162" s="558" t="s">
        <v>1350</v>
      </c>
      <c r="G162" s="132" t="s">
        <v>2223</v>
      </c>
    </row>
    <row r="163" spans="3:13">
      <c r="F163" s="557"/>
      <c r="G163" s="132"/>
      <c r="K163" s="1212" t="str">
        <f>IF(D165="","",IF(Qualifying_Index!U96=1,"","*Please note the rebate cannot be higher than the Total Project Cost"))</f>
        <v/>
      </c>
      <c r="L163" s="1212"/>
      <c r="M163" s="1212"/>
    </row>
    <row r="164" spans="3:13">
      <c r="K164" s="1212"/>
      <c r="L164" s="1212"/>
      <c r="M164" s="1212"/>
    </row>
    <row r="165" spans="3:13">
      <c r="C165" s="38" t="s">
        <v>1187</v>
      </c>
      <c r="D165" s="464"/>
      <c r="E165" s="141"/>
      <c r="I165" s="38" t="s">
        <v>1188</v>
      </c>
      <c r="J165" s="105" t="str">
        <f>IF(OR(D165="",SUM(Qualifying_Index!C142)=0),"",Qualifying_Index!D142)</f>
        <v/>
      </c>
      <c r="K165" s="1212"/>
      <c r="L165" s="1212"/>
      <c r="M165" s="1212"/>
    </row>
    <row r="166" spans="3:13" ht="23" thickBot="1">
      <c r="C166" s="330" t="s">
        <v>1572</v>
      </c>
      <c r="D166" s="509"/>
      <c r="E166" s="509"/>
    </row>
    <row r="167" spans="3:13"/>
    <row r="168" spans="3:13">
      <c r="C168" s="294" t="s">
        <v>1576</v>
      </c>
      <c r="D168" s="434"/>
    </row>
    <row r="169" spans="3:13"/>
    <row r="170" spans="3:13">
      <c r="C170" s="294" t="s">
        <v>1577</v>
      </c>
      <c r="D170" s="434"/>
      <c r="E170" s="488" t="s">
        <v>1580</v>
      </c>
    </row>
    <row r="171" spans="3:13"/>
    <row r="172" spans="3:13">
      <c r="C172" s="294" t="s">
        <v>1578</v>
      </c>
      <c r="D172" s="504"/>
      <c r="E172" s="488" t="s">
        <v>1581</v>
      </c>
    </row>
    <row r="173" spans="3:13"/>
    <row r="174" spans="3:13">
      <c r="C174" s="294" t="s">
        <v>1579</v>
      </c>
      <c r="D174" s="434"/>
      <c r="E174" s="488" t="s">
        <v>1581</v>
      </c>
    </row>
    <row r="175" spans="3:13"/>
    <row r="176" spans="3:13"/>
    <row r="177" spans="3:5"/>
    <row r="178" spans="3:5"/>
    <row r="179" spans="3:5" ht="23" thickBot="1">
      <c r="C179" s="330" t="s">
        <v>157</v>
      </c>
      <c r="D179" s="509"/>
      <c r="E179" s="509"/>
    </row>
    <row r="180" spans="3:5"/>
    <row r="181" spans="3:5">
      <c r="C181" s="38" t="s">
        <v>2643</v>
      </c>
      <c r="D181" s="105">
        <f>SUM(J48,J87,J107,J147,J165)</f>
        <v>0</v>
      </c>
    </row>
    <row r="182" spans="3:5"/>
    <row r="183" spans="3:5"/>
    <row r="184" spans="3:5"/>
    <row r="185" spans="3:5"/>
  </sheetData>
  <sheetProtection algorithmName="SHA-512" hashValue="KJU05AcQ+BLb+CL9+lFW4JTWIH2fRUhoM9tW+NoEhL5c80EdFSAldSH38U+WRbYSFH+QCpzSGSlfqzzTyOlMFw==" saltValue="Ilr5ZDRXcYc56iF1vD530Q==" spinCount="100000" sheet="1" objects="1" scenarios="1"/>
  <mergeCells count="11">
    <mergeCell ref="B4:M4"/>
    <mergeCell ref="B5:C5"/>
    <mergeCell ref="K47:M49"/>
    <mergeCell ref="C38:J38"/>
    <mergeCell ref="K85:M87"/>
    <mergeCell ref="D90:F90"/>
    <mergeCell ref="K145:M147"/>
    <mergeCell ref="K163:M165"/>
    <mergeCell ref="K106:M107"/>
    <mergeCell ref="C96:C97"/>
    <mergeCell ref="I96:I97"/>
  </mergeCells>
  <phoneticPr fontId="137" type="noConversion"/>
  <conditionalFormatting sqref="C11:D13 I13:J13 C15:D19 C21:C22 C37:C38">
    <cfRule type="expression" dxfId="48" priority="19">
      <formula>#REF!="Cooling"</formula>
    </cfRule>
  </conditionalFormatting>
  <conditionalFormatting sqref="C54:D54">
    <cfRule type="expression" dxfId="47" priority="12">
      <formula>$D$52="Unconditioned Attic"</formula>
    </cfRule>
    <cfRule type="expression" dxfId="46" priority="13">
      <formula>$D$52="Unconditioned Garage"</formula>
    </cfRule>
  </conditionalFormatting>
  <conditionalFormatting sqref="C68:D68">
    <cfRule type="expression" dxfId="45" priority="3">
      <formula>$D$66= "Unconditioned Garage"</formula>
    </cfRule>
    <cfRule type="expression" dxfId="44" priority="4">
      <formula>$D$66= "Unconditioned Attic"</formula>
    </cfRule>
  </conditionalFormatting>
  <conditionalFormatting sqref="C24:E25 I24:K25 C26:D26 I26:J26 C28:E36 I28:K36">
    <cfRule type="expression" dxfId="43" priority="11">
      <formula>#REF!="Heating &amp; Cooling (1)"</formula>
    </cfRule>
  </conditionalFormatting>
  <conditionalFormatting sqref="D21">
    <cfRule type="expression" dxfId="42" priority="16">
      <formula>#REF!="Cooling"</formula>
    </cfRule>
  </conditionalFormatting>
  <conditionalFormatting sqref="I8">
    <cfRule type="expression" dxfId="41" priority="1">
      <formula>#REF!="Cooling"</formula>
    </cfRule>
  </conditionalFormatting>
  <conditionalFormatting sqref="I11:J12 I15:J20 I21 I22:J23 I37:J37">
    <cfRule type="expression" dxfId="40" priority="31">
      <formula>#REF!="Heating"</formula>
    </cfRule>
  </conditionalFormatting>
  <conditionalFormatting sqref="I54:J54">
    <cfRule type="expression" dxfId="39" priority="5">
      <formula>$J$52="Unconditioned Attic"</formula>
    </cfRule>
    <cfRule type="expression" dxfId="38" priority="17">
      <formula>$J$54="Unconditioned Attic"</formula>
    </cfRule>
    <cfRule type="expression" dxfId="37" priority="20">
      <formula>$J$52="Unconditioned Garage"</formula>
    </cfRule>
  </conditionalFormatting>
  <conditionalFormatting sqref="J21">
    <cfRule type="expression" dxfId="36" priority="15">
      <formula>#REF!="Cooling"</formula>
    </cfRule>
  </conditionalFormatting>
  <dataValidations count="17">
    <dataValidation type="decimal" operator="greaterThan" allowBlank="1" showInputMessage="1" showErrorMessage="1" sqref="D17 J17 J19 D19 J90 D152 J94 J92 D97 J97 D34 D30 J30 J32 D32 E92:E94 D92:D93 D170 D154" xr:uid="{0318B4FA-F85F-4CBF-9CD9-AF689FAB0725}">
      <formula1>0</formula1>
    </dataValidation>
    <dataValidation type="whole" operator="greaterThan" allowBlank="1" showInputMessage="1" showErrorMessage="1" sqref="J56 D56 D70 J114 D112 J112 D122 J122 D132:D135 J124 D124 D114" xr:uid="{49EF026D-8DAB-4E8D-AEF1-821CA4E8C694}">
      <formula1>0</formula1>
    </dataValidation>
    <dataValidation type="list" allowBlank="1" showInputMessage="1" showErrorMessage="1" sqref="D110 J110 D120 J120 D130" xr:uid="{41BA679A-87B9-4AAD-98D1-48CD0B84C9DA}">
      <formula1>Insulation_Location</formula1>
    </dataValidation>
    <dataValidation type="list" allowBlank="1" showInputMessage="1" showErrorMessage="1" sqref="J52 D52 D66" xr:uid="{00000000-0002-0000-0900-000003000000}">
      <formula1>Duct_Location</formula1>
    </dataValidation>
    <dataValidation type="list" allowBlank="1" showInputMessage="1" showErrorMessage="1" sqref="D26" xr:uid="{00000000-0002-0000-0900-000000000000}">
      <formula1>Heating_Source</formula1>
    </dataValidation>
    <dataValidation type="list" allowBlank="1" showInputMessage="1" showErrorMessage="1" sqref="D68" xr:uid="{782FEF23-D156-44B9-9668-E4D3C8E1A790}">
      <formula1>IF($D66="Unconditioned Crawl Space",CrawlSpace_Duct_Attribute,Duct_Attribute)</formula1>
    </dataValidation>
    <dataValidation type="list" allowBlank="1" showInputMessage="1" showErrorMessage="1" sqref="D62 J62 D76" xr:uid="{DA9F32C2-BE47-4EAF-A5C9-C797582BD5F6}">
      <formula1>Duct_HeatingCooling_System</formula1>
    </dataValidation>
    <dataValidation type="whole" operator="greaterThan" allowBlank="1" showInputMessage="1" showErrorMessage="1" errorTitle="Minimum R-Value" error="The R-Value Installed must be larger than the Existing R-Value." sqref="D136 D116 J116 D126 J126" xr:uid="{5FAC7F37-0C58-4DE6-9789-442E233DAAC8}">
      <formula1>D114</formula1>
    </dataValidation>
    <dataValidation type="decimal" allowBlank="1" showInputMessage="1" showErrorMessage="1" sqref="D21 J21 J34 D36" xr:uid="{46525FCC-C41E-4DE2-8F4E-4B06307CE870}">
      <formula1>0</formula1>
      <formula2>1</formula2>
    </dataValidation>
    <dataValidation type="list" allowBlank="1" showInputMessage="1" showErrorMessage="1" sqref="J26" xr:uid="{564E2D9C-583B-4B4D-8F3A-E46F7940DDC9}">
      <formula1>Cooling_Source</formula1>
    </dataValidation>
    <dataValidation type="list" allowBlank="1" showInputMessage="1" showErrorMessage="1" sqref="D168" xr:uid="{EB014829-84EC-4A04-8F29-C1C821EBC734}">
      <formula1>WaterHeater_Source</formula1>
    </dataValidation>
    <dataValidation type="whole" operator="greaterThan" allowBlank="1" showInputMessage="1" showErrorMessage="1" sqref="D15 D28" xr:uid="{08B230F1-70CE-4706-B33A-7698B0531CBB}">
      <formula1>1000</formula1>
    </dataValidation>
    <dataValidation type="whole" operator="lessThan" allowBlank="1" showInputMessage="1" showErrorMessage="1" errorTitle="Requirement" error="The Post CFM (25) must be less than the Pre CFM (25)." sqref="D72 D58 J58" xr:uid="{D9900CDB-57D0-4847-A1CA-2074AC8E068D}">
      <formula1>D56</formula1>
    </dataValidation>
    <dataValidation type="decimal" operator="lessThan" allowBlank="1" showInputMessage="1" showErrorMessage="1" errorTitle="Requirements" error="The Post CFM50 must be less than the Pre CFM50." sqref="D94" xr:uid="{5B934267-FFCD-4BC6-993D-A21E9EAB2BED}">
      <formula1>D92</formula1>
    </dataValidation>
    <dataValidation type="decimal" operator="lessThan" allowBlank="1" showInputMessage="1" showErrorMessage="1" sqref="D60 J60 D74" xr:uid="{2E116E3B-8652-4D3C-B97B-7812D34627B3}">
      <formula1>10000</formula1>
    </dataValidation>
    <dataValidation type="decimal" allowBlank="1" showInputMessage="1" showErrorMessage="1" errorTitle="Horsepower too High" error="Please enter a horsepower below 20hp." sqref="D150" xr:uid="{4D53FFAC-C153-431E-A564-E6B87C3D8D7A}">
      <formula1>0</formula1>
      <formula2>20</formula2>
    </dataValidation>
    <dataValidation type="decimal" allowBlank="1" showInputMessage="1" showErrorMessage="1" errorTitle="Please enter an acceptable value" error="Enter Cooling Capacity in tons" sqref="J15 J28" xr:uid="{93E64E98-9305-4CCC-B13A-9BF3FF7ED8C9}">
      <formula1>0.1</formula1>
      <formula2>100</formula2>
    </dataValidation>
  </dataValidations>
  <hyperlinks>
    <hyperlink ref="K102" location="'Insulation Eligibility'!A1" display="here" xr:uid="{F93A31D4-B17C-499D-A85C-7EB53F25CF5C}"/>
    <hyperlink ref="C39" r:id="rId1" xr:uid="{1F16281E-1AD5-46C7-8685-A227FA7CC6DF}"/>
  </hyperlinks>
  <pageMargins left="0.7" right="0.7" top="0.75" bottom="0.75" header="0.3" footer="0.3"/>
  <pageSetup scale="41" fitToHeight="5" orientation="portrait" r:id="rId2"/>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rowBreaks count="1" manualBreakCount="1">
    <brk id="99" max="21" man="1"/>
  </rowBreaks>
  <drawing r:id="rId3"/>
  <extLst>
    <ext xmlns:x14="http://schemas.microsoft.com/office/spreadsheetml/2009/9/main" uri="{CCE6A557-97BC-4b89-ADB6-D9C93CAAB3DF}">
      <x14:dataValidations xmlns:xm="http://schemas.microsoft.com/office/excel/2006/main" count="7">
        <x14:dataValidation type="list" operator="greaterThan" allowBlank="1" showInputMessage="1" showErrorMessage="1" xr:uid="{3581DA57-97FC-4952-8C0E-9705336C8311}">
          <x14:formula1>
            <xm:f>References!$R$233:$R$237</xm:f>
          </x14:formula1>
          <xm:sqref>D90</xm:sqref>
        </x14:dataValidation>
        <x14:dataValidation type="list" allowBlank="1" showInputMessage="1" showErrorMessage="1" xr:uid="{1CC8D250-BA7B-4068-AEEC-F852D24D7BB2}">
          <x14:formula1>
            <xm:f>References!$J$4:$J$17</xm:f>
          </x14:formula1>
          <xm:sqref>J13</xm:sqref>
        </x14:dataValidation>
        <x14:dataValidation type="list" allowBlank="1" showInputMessage="1" showErrorMessage="1" xr:uid="{5D8AA05A-72C8-4371-8756-D3C4DE16BBCE}">
          <x14:formula1>
            <xm:f>References!$L$4:$L$18</xm:f>
          </x14:formula1>
          <xm:sqref>D13</xm:sqref>
        </x14:dataValidation>
        <x14:dataValidation type="list" allowBlank="1" showInputMessage="1" showErrorMessage="1" xr:uid="{0711AE9E-9E0A-4845-BFAB-A8BEB776E642}">
          <x14:formula1>
            <xm:f>IF($J52="Unconditioned Crawl Space",References!$K$21:$K$24,Duct_Attribute)</xm:f>
          </x14:formula1>
          <xm:sqref>J54</xm:sqref>
        </x14:dataValidation>
        <x14:dataValidation type="list" allowBlank="1" showInputMessage="1" showErrorMessage="1" xr:uid="{227B5C86-2C7B-4132-AAFB-18B0FBD695BA}">
          <x14:formula1>
            <xm:f>IF($D52="Unconditioned Crawl Space",References!$K$21:$K$24,Duct_Attribute)</xm:f>
          </x14:formula1>
          <xm:sqref>D54</xm:sqref>
        </x14:dataValidation>
        <x14:dataValidation type="list" allowBlank="1" showInputMessage="1" showErrorMessage="1" xr:uid="{651E0EF2-0762-4117-A5D6-6D67AC3E28F9}">
          <x14:formula1>
            <xm:f>References!$T$402:$Y$402</xm:f>
          </x14:formula1>
          <xm:sqref>D174</xm:sqref>
        </x14:dataValidation>
        <x14:dataValidation type="list" allowBlank="1" showInputMessage="1" showErrorMessage="1" xr:uid="{5E6D26F5-6765-4940-8370-086911625BD3}">
          <x14:formula1>
            <xm:f>References!$R$403:$R$415</xm:f>
          </x14:formula1>
          <xm:sqref>D172</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tabColor theme="4"/>
  </sheetPr>
  <dimension ref="A1:N89"/>
  <sheetViews>
    <sheetView showGridLines="0" zoomScaleNormal="100" workbookViewId="0">
      <selection activeCell="H15" sqref="H15"/>
    </sheetView>
  </sheetViews>
  <sheetFormatPr defaultColWidth="0" defaultRowHeight="14" zeroHeight="1"/>
  <cols>
    <col min="1" max="1" width="3.54296875" style="132" customWidth="1"/>
    <col min="2" max="2" width="18.81640625" style="132" customWidth="1"/>
    <col min="3" max="3" width="8.81640625" style="132" customWidth="1"/>
    <col min="4" max="4" width="10" style="132" customWidth="1"/>
    <col min="5" max="5" width="10.453125" style="132" customWidth="1"/>
    <col min="6" max="6" width="11.54296875" style="132" customWidth="1"/>
    <col min="7" max="7" width="12.453125" style="132" customWidth="1"/>
    <col min="8" max="8" width="14.54296875" style="132" customWidth="1"/>
    <col min="9" max="11" width="8.81640625" style="132" customWidth="1"/>
    <col min="12" max="12" width="14.453125" style="132" customWidth="1"/>
    <col min="13" max="13" width="8.81640625" style="132" customWidth="1"/>
    <col min="14" max="14" width="8.7265625" style="132" customWidth="1"/>
    <col min="15" max="16384" width="8.7265625" style="132" hidden="1"/>
  </cols>
  <sheetData>
    <row r="1" spans="2:14" ht="30">
      <c r="B1" s="270" t="str">
        <f>'Customer Information'!A1</f>
        <v>2025 Commercial Efficiency Program</v>
      </c>
    </row>
    <row r="2" spans="2:14"/>
    <row r="3" spans="2:14"/>
    <row r="4" spans="2:14" ht="23">
      <c r="B4" s="271" t="str">
        <f>"Inspection Form, Version "&amp;Development!A2</f>
        <v>Inspection Form, Version 1.0</v>
      </c>
    </row>
    <row r="5" spans="2:14" ht="23.5" customHeight="1"/>
    <row r="6" spans="2:14"/>
    <row r="7" spans="2:14" ht="25.4" customHeight="1">
      <c r="B7" s="132" t="s">
        <v>191</v>
      </c>
      <c r="C7" s="1019"/>
      <c r="D7" s="1019"/>
      <c r="E7" s="1019"/>
      <c r="F7" s="1019"/>
      <c r="H7" s="132" t="s">
        <v>163</v>
      </c>
      <c r="I7" s="1241" t="str">
        <f>IF('Customer Information'!C5="","",'Customer Information'!C5)</f>
        <v/>
      </c>
      <c r="J7" s="1241"/>
      <c r="K7" s="1241"/>
      <c r="L7" s="1241"/>
    </row>
    <row r="8" spans="2:14" ht="8.25" customHeight="1"/>
    <row r="9" spans="2:14" ht="25.5" customHeight="1">
      <c r="B9" s="195"/>
      <c r="C9" s="195"/>
      <c r="D9" s="195"/>
      <c r="E9" s="195"/>
      <c r="F9" s="195"/>
      <c r="G9" s="195"/>
      <c r="H9" s="195"/>
      <c r="I9" s="195"/>
      <c r="J9" s="195"/>
      <c r="K9" s="195"/>
      <c r="L9" s="195"/>
      <c r="M9" s="195"/>
      <c r="N9" s="195"/>
    </row>
    <row r="10" spans="2:14" ht="25.5" customHeight="1">
      <c r="B10" s="196" t="s">
        <v>129</v>
      </c>
      <c r="C10" s="197"/>
      <c r="D10" s="197"/>
      <c r="E10" s="197"/>
      <c r="F10" s="197"/>
      <c r="G10" s="197"/>
      <c r="H10" s="197"/>
      <c r="I10" s="197"/>
      <c r="J10" s="197"/>
      <c r="K10" s="197"/>
      <c r="L10" s="197"/>
      <c r="M10" s="198"/>
      <c r="N10" s="198"/>
    </row>
    <row r="11" spans="2:14" ht="25.5" customHeight="1">
      <c r="B11" s="199" t="s">
        <v>1247</v>
      </c>
      <c r="C11" s="1243" t="str">
        <f>IF('Customer Information'!C6="","",'Customer Information'!C6)</f>
        <v/>
      </c>
      <c r="D11" s="1243"/>
      <c r="E11" s="1243"/>
      <c r="F11" s="1243"/>
      <c r="G11" s="199"/>
      <c r="H11" s="200" t="s">
        <v>182</v>
      </c>
      <c r="I11" s="1243" t="str">
        <f>IF('Customer Information'!C7="","",'Customer Information'!C7)</f>
        <v/>
      </c>
      <c r="J11" s="1243"/>
      <c r="K11" s="1243"/>
      <c r="L11" s="1243"/>
      <c r="M11" s="201"/>
      <c r="N11" s="201"/>
    </row>
    <row r="12" spans="2:14" ht="5.15" customHeight="1">
      <c r="B12" s="202"/>
      <c r="C12" s="203"/>
      <c r="D12" s="203"/>
      <c r="E12" s="203"/>
      <c r="F12" s="203"/>
      <c r="G12" s="202"/>
      <c r="H12" s="204"/>
      <c r="I12" s="203"/>
      <c r="J12" s="203"/>
      <c r="K12" s="203"/>
      <c r="L12" s="203"/>
      <c r="M12" s="205"/>
      <c r="N12" s="205"/>
    </row>
    <row r="13" spans="2:14" ht="25.5" customHeight="1">
      <c r="B13" s="199" t="s">
        <v>183</v>
      </c>
      <c r="C13" s="1241" t="str">
        <f>IF('Customer Information'!I7="","",'Customer Information'!I7)</f>
        <v/>
      </c>
      <c r="D13" s="1241"/>
      <c r="E13" s="1241"/>
      <c r="F13" s="1241"/>
      <c r="G13" s="199"/>
      <c r="H13" s="200" t="s">
        <v>184</v>
      </c>
      <c r="I13" s="1240" t="str">
        <f>IF('Customer Information'!K9="","",'Customer Information'!K9)</f>
        <v/>
      </c>
      <c r="J13" s="1240"/>
      <c r="K13" s="1240"/>
      <c r="L13" s="1240"/>
      <c r="M13" s="201"/>
      <c r="N13" s="201"/>
    </row>
    <row r="14" spans="2:14" ht="5.15" customHeight="1">
      <c r="B14" s="202"/>
      <c r="C14" s="203"/>
      <c r="D14" s="203"/>
      <c r="E14" s="203"/>
      <c r="F14" s="203"/>
      <c r="G14" s="202"/>
      <c r="H14" s="204"/>
      <c r="I14" s="203"/>
      <c r="J14" s="203"/>
      <c r="K14" s="203"/>
      <c r="L14" s="203"/>
      <c r="M14" s="205"/>
      <c r="N14" s="205"/>
    </row>
    <row r="15" spans="2:14" ht="25.5" customHeight="1">
      <c r="B15" s="199" t="s">
        <v>185</v>
      </c>
      <c r="C15" s="1242"/>
      <c r="D15" s="1242"/>
      <c r="E15" s="1242"/>
      <c r="F15" s="1242"/>
      <c r="G15" s="199"/>
      <c r="H15" s="200" t="s">
        <v>9</v>
      </c>
      <c r="I15" s="1242"/>
      <c r="J15" s="1242"/>
      <c r="K15" s="202"/>
      <c r="L15" s="202"/>
      <c r="M15" s="201"/>
      <c r="N15" s="201"/>
    </row>
    <row r="16" spans="2:14" ht="5.15" customHeight="1">
      <c r="B16" s="202"/>
      <c r="C16" s="203"/>
      <c r="D16" s="203"/>
      <c r="E16" s="202"/>
      <c r="F16" s="202"/>
      <c r="G16" s="202"/>
      <c r="H16" s="204"/>
      <c r="I16" s="203"/>
      <c r="J16" s="203"/>
      <c r="K16" s="202"/>
      <c r="L16" s="202"/>
      <c r="M16" s="205"/>
      <c r="N16" s="205"/>
    </row>
    <row r="17" spans="2:14" ht="25.5" customHeight="1">
      <c r="B17" s="206"/>
      <c r="C17" s="201"/>
      <c r="D17" s="201"/>
      <c r="E17" s="201"/>
      <c r="F17" s="201"/>
      <c r="G17" s="201"/>
      <c r="H17" s="207"/>
      <c r="I17" s="201"/>
      <c r="J17" s="201"/>
      <c r="K17" s="201"/>
      <c r="L17" s="201"/>
      <c r="M17" s="201"/>
      <c r="N17" s="201"/>
    </row>
    <row r="18" spans="2:14" ht="16.5" customHeight="1">
      <c r="B18" s="196" t="s">
        <v>6</v>
      </c>
      <c r="C18" s="208"/>
      <c r="D18" s="208"/>
      <c r="E18" s="208"/>
      <c r="F18" s="208"/>
      <c r="G18" s="208"/>
      <c r="H18" s="208"/>
      <c r="I18" s="208"/>
      <c r="J18" s="208"/>
      <c r="K18" s="208"/>
      <c r="L18" s="208"/>
      <c r="M18" s="209"/>
      <c r="N18" s="209"/>
    </row>
    <row r="19" spans="2:14" ht="25.5" customHeight="1">
      <c r="B19" s="199" t="s">
        <v>186</v>
      </c>
      <c r="C19" s="1244" t="str">
        <f>IF('Customer Information'!C27="","",'Customer Information'!C27)</f>
        <v/>
      </c>
      <c r="D19" s="1244"/>
      <c r="E19" s="1244"/>
      <c r="F19" s="1244"/>
      <c r="G19" s="199"/>
      <c r="H19" s="200" t="s">
        <v>187</v>
      </c>
      <c r="I19" s="1244" t="str">
        <f>IF('Customer Information'!C28="","",'Customer Information'!C28)</f>
        <v/>
      </c>
      <c r="J19" s="1244"/>
      <c r="K19" s="1244"/>
      <c r="L19" s="1244"/>
      <c r="M19" s="201"/>
      <c r="N19" s="201"/>
    </row>
    <row r="20" spans="2:14" ht="5.15" customHeight="1">
      <c r="B20" s="199"/>
      <c r="C20" s="210"/>
      <c r="D20" s="210"/>
      <c r="E20" s="210"/>
      <c r="F20" s="210"/>
      <c r="G20" s="199"/>
      <c r="H20" s="200"/>
      <c r="I20" s="210"/>
      <c r="J20" s="210"/>
      <c r="K20" s="210"/>
      <c r="L20" s="210"/>
      <c r="M20" s="201"/>
      <c r="N20" s="201"/>
    </row>
    <row r="21" spans="2:14" ht="25.5" customHeight="1">
      <c r="B21" s="199" t="s">
        <v>184</v>
      </c>
      <c r="C21" s="1240" t="str">
        <f>IF('Customer Information'!K29="","",'Customer Information'!K29)</f>
        <v/>
      </c>
      <c r="D21" s="1240"/>
      <c r="E21" s="1240"/>
      <c r="F21" s="1240"/>
      <c r="G21" s="199"/>
      <c r="H21" s="200" t="s">
        <v>168</v>
      </c>
      <c r="I21" s="1241" t="str">
        <f>IF('Customer Information'!L45="","",'Customer Information'!L45)</f>
        <v/>
      </c>
      <c r="J21" s="1241"/>
      <c r="K21" s="1241"/>
      <c r="L21" s="1241"/>
      <c r="M21" s="201"/>
      <c r="N21" s="201"/>
    </row>
    <row r="22" spans="2:14" ht="25.5" customHeight="1">
      <c r="B22" s="206"/>
      <c r="C22" s="201"/>
      <c r="D22" s="201"/>
      <c r="E22" s="201"/>
      <c r="F22" s="201"/>
      <c r="G22" s="201"/>
      <c r="H22" s="207"/>
      <c r="I22" s="201"/>
      <c r="J22" s="201"/>
      <c r="K22" s="201"/>
      <c r="L22" s="201"/>
      <c r="M22" s="201"/>
      <c r="N22" s="201"/>
    </row>
    <row r="23" spans="2:14" ht="16.5" customHeight="1">
      <c r="B23" s="196" t="s">
        <v>188</v>
      </c>
      <c r="C23" s="208"/>
      <c r="D23" s="208"/>
      <c r="E23" s="208"/>
      <c r="F23" s="208"/>
      <c r="G23" s="208"/>
      <c r="H23" s="208"/>
      <c r="I23" s="208"/>
      <c r="J23" s="208"/>
      <c r="K23" s="208"/>
      <c r="L23" s="208"/>
      <c r="M23" s="209"/>
      <c r="N23" s="209"/>
    </row>
    <row r="24" spans="2:14" ht="16.5" customHeight="1">
      <c r="B24" s="211"/>
      <c r="C24" s="212"/>
      <c r="D24" s="212"/>
      <c r="E24" s="212"/>
      <c r="F24" s="212"/>
      <c r="G24" s="212"/>
      <c r="H24" s="212"/>
      <c r="I24" s="212"/>
      <c r="J24" s="212"/>
      <c r="K24" s="212"/>
      <c r="L24" s="212"/>
      <c r="M24" s="209"/>
      <c r="N24" s="209"/>
    </row>
    <row r="25" spans="2:14" ht="16.5" customHeight="1">
      <c r="B25" s="632" t="s">
        <v>787</v>
      </c>
      <c r="C25" s="209"/>
      <c r="D25" s="209"/>
      <c r="E25" s="209"/>
      <c r="F25" s="209"/>
      <c r="G25" s="209"/>
      <c r="H25" s="209"/>
      <c r="I25" s="209"/>
      <c r="J25" s="209"/>
      <c r="K25" s="209"/>
      <c r="L25" s="209"/>
      <c r="M25" s="209"/>
      <c r="N25" s="209"/>
    </row>
    <row r="26" spans="2:14" ht="26.25" customHeight="1">
      <c r="B26" s="633"/>
      <c r="C26" s="1238"/>
      <c r="D26" s="1238"/>
      <c r="E26" s="1238"/>
      <c r="F26" s="1238"/>
      <c r="G26" s="1238"/>
      <c r="H26" s="1238"/>
      <c r="I26" s="1238"/>
      <c r="J26" s="1238"/>
      <c r="K26" s="1239"/>
      <c r="L26" s="1239"/>
      <c r="M26" s="213"/>
      <c r="N26" s="213"/>
    </row>
    <row r="27" spans="2:14" ht="25.5" customHeight="1">
      <c r="B27" s="637" t="s">
        <v>433</v>
      </c>
      <c r="C27" s="1229" t="s">
        <v>2248</v>
      </c>
      <c r="D27" s="1230"/>
      <c r="E27" s="1229" t="s">
        <v>2249</v>
      </c>
      <c r="F27" s="1230"/>
      <c r="G27" s="1229" t="s">
        <v>2250</v>
      </c>
      <c r="H27" s="1230"/>
      <c r="I27" s="1229" t="s">
        <v>2251</v>
      </c>
      <c r="J27" s="1231"/>
      <c r="K27" s="1231"/>
      <c r="L27" s="1230"/>
      <c r="M27" s="199"/>
      <c r="N27" s="199"/>
    </row>
    <row r="28" spans="2:14" ht="25.5" customHeight="1">
      <c r="B28" s="640" t="str">
        <f>IF(Worksheet!D52="","",Worksheet!D52)</f>
        <v/>
      </c>
      <c r="C28" s="1225" t="str">
        <f>IF(Worksheet!D62="","",IF(Qualifying_Index!F103=0,"",Qualifying_Index!H103)&amp;IF(Qualifying_Index!G103=0,"",IF(Qualifying_Index!F103=0,Qualifying_Index!I103," &amp; "&amp;Qualifying_Index!I103)))</f>
        <v/>
      </c>
      <c r="D28" s="1225"/>
      <c r="E28" s="1226"/>
      <c r="F28" s="1226"/>
      <c r="G28" s="1225"/>
      <c r="H28" s="1225"/>
      <c r="I28" s="1250"/>
      <c r="J28" s="1251"/>
      <c r="K28" s="1251"/>
      <c r="L28" s="1252"/>
      <c r="M28" s="199"/>
      <c r="N28" s="199"/>
    </row>
    <row r="29" spans="2:14" ht="25.5" customHeight="1">
      <c r="B29" s="640" t="str">
        <f>IF(Worksheet!J52="","",Worksheet!J52)</f>
        <v/>
      </c>
      <c r="C29" s="1225" t="str">
        <f>IF(Worksheet!J62="","",IF(Qualifying_Index!F104=0,"",Qualifying_Index!H104)&amp;IF(Qualifying_Index!G104=0,"",IF(Qualifying_Index!F104=0,Qualifying_Index!I104," &amp; "&amp;Qualifying_Index!I104)))</f>
        <v/>
      </c>
      <c r="D29" s="1225"/>
      <c r="E29" s="1226"/>
      <c r="F29" s="1226"/>
      <c r="G29" s="1225"/>
      <c r="H29" s="1225"/>
      <c r="I29" s="1250"/>
      <c r="J29" s="1251"/>
      <c r="K29" s="1251"/>
      <c r="L29" s="1252"/>
      <c r="M29" s="199"/>
      <c r="N29" s="199"/>
    </row>
    <row r="30" spans="2:14" ht="25.5" customHeight="1">
      <c r="B30" s="640" t="str">
        <f>IF(Worksheet!D66="","",Worksheet!D66)</f>
        <v/>
      </c>
      <c r="C30" s="1225" t="str">
        <f>IF(Worksheet!D76="","",IF(Qualifying_Index!F105=0,"",Qualifying_Index!H105)&amp;IF(Qualifying_Index!G105=0,"",IF(Qualifying_Index!F105=0,Qualifying_Index!I105," &amp; "&amp;Qualifying_Index!I105)))</f>
        <v/>
      </c>
      <c r="D30" s="1225"/>
      <c r="E30" s="1226"/>
      <c r="F30" s="1226"/>
      <c r="G30" s="1225"/>
      <c r="H30" s="1225"/>
      <c r="I30" s="1250"/>
      <c r="J30" s="1251"/>
      <c r="K30" s="1251"/>
      <c r="L30" s="1252"/>
      <c r="M30" s="199"/>
      <c r="N30" s="199"/>
    </row>
    <row r="31" spans="2:14" ht="25.5" customHeight="1">
      <c r="B31" s="633"/>
      <c r="C31" s="1233"/>
      <c r="D31" s="1233"/>
      <c r="E31" s="1234"/>
      <c r="F31" s="1234"/>
      <c r="G31" s="1233"/>
      <c r="H31" s="1233"/>
      <c r="I31" s="1233"/>
      <c r="J31" s="1233"/>
      <c r="K31" s="1232"/>
      <c r="L31" s="1232"/>
      <c r="M31" s="199"/>
      <c r="N31" s="199"/>
    </row>
    <row r="32" spans="2:14" ht="25.5" customHeight="1">
      <c r="B32" s="632" t="s">
        <v>785</v>
      </c>
      <c r="C32" s="1233"/>
      <c r="D32" s="1233"/>
      <c r="E32" s="1234"/>
      <c r="F32" s="1234"/>
      <c r="G32" s="1233"/>
      <c r="H32" s="1233"/>
      <c r="I32" s="1233"/>
      <c r="J32" s="1233"/>
      <c r="K32" s="1232"/>
      <c r="L32" s="1232"/>
      <c r="M32" s="199"/>
      <c r="N32" s="199"/>
    </row>
    <row r="33" spans="2:14" ht="25.5" customHeight="1">
      <c r="B33" s="641" t="s">
        <v>2283</v>
      </c>
      <c r="C33" s="642"/>
      <c r="D33" s="642"/>
      <c r="E33" s="642"/>
      <c r="F33" s="642"/>
      <c r="G33" s="642"/>
      <c r="H33" s="642"/>
      <c r="I33" s="642"/>
      <c r="J33" s="642"/>
      <c r="K33" s="638"/>
      <c r="L33" s="638"/>
      <c r="M33" s="199"/>
      <c r="N33" s="199"/>
    </row>
    <row r="34" spans="2:14" ht="30.65" customHeight="1">
      <c r="B34" s="650" t="s">
        <v>2252</v>
      </c>
      <c r="C34" s="1219"/>
      <c r="D34" s="1219"/>
      <c r="E34" s="645"/>
      <c r="F34" s="646" t="s">
        <v>2254</v>
      </c>
      <c r="G34" s="1219"/>
      <c r="H34" s="1219"/>
      <c r="J34" s="1253" t="s">
        <v>2256</v>
      </c>
      <c r="K34" s="1253"/>
      <c r="L34" s="1254"/>
      <c r="M34" s="1254"/>
      <c r="N34" s="199"/>
    </row>
    <row r="35" spans="2:14" ht="25.5" customHeight="1">
      <c r="B35" s="650" t="s">
        <v>2253</v>
      </c>
      <c r="C35" s="1219"/>
      <c r="D35" s="1219"/>
      <c r="E35" s="642"/>
      <c r="F35" s="643" t="s">
        <v>2255</v>
      </c>
      <c r="G35" s="1236"/>
      <c r="H35" s="1236"/>
      <c r="J35" s="1253" t="s">
        <v>2257</v>
      </c>
      <c r="K35" s="1253"/>
      <c r="L35" s="1254"/>
      <c r="M35" s="1254"/>
      <c r="N35" s="199"/>
    </row>
    <row r="36" spans="2:14" ht="25.5" customHeight="1">
      <c r="B36" s="650" t="s">
        <v>2258</v>
      </c>
      <c r="C36" s="1219"/>
      <c r="D36" s="1219"/>
      <c r="E36" s="642"/>
      <c r="F36" s="644" t="s">
        <v>2259</v>
      </c>
      <c r="G36" s="1236"/>
      <c r="H36" s="1236"/>
      <c r="I36" s="642"/>
      <c r="J36" s="642"/>
      <c r="K36" s="638"/>
      <c r="L36" s="638"/>
      <c r="M36" s="199"/>
      <c r="N36" s="199"/>
    </row>
    <row r="37" spans="2:14" ht="21.65" customHeight="1">
      <c r="B37" s="634"/>
      <c r="C37" s="634"/>
      <c r="D37" s="214"/>
      <c r="E37" s="214"/>
      <c r="F37" s="214"/>
      <c r="G37" s="214"/>
      <c r="H37" s="214"/>
      <c r="I37" s="214"/>
      <c r="J37" s="214"/>
      <c r="K37" s="214"/>
      <c r="L37" s="214"/>
      <c r="M37" s="214"/>
      <c r="N37" s="214"/>
    </row>
    <row r="38" spans="2:14" ht="21.65" customHeight="1">
      <c r="B38" s="636" t="s">
        <v>2260</v>
      </c>
      <c r="C38" s="1237" t="s">
        <v>2261</v>
      </c>
      <c r="D38" s="1237"/>
      <c r="E38" s="708"/>
      <c r="F38" s="214"/>
      <c r="G38" s="647" t="s">
        <v>2262</v>
      </c>
      <c r="H38" s="707"/>
      <c r="I38" s="214"/>
      <c r="J38" s="214"/>
      <c r="K38" s="214"/>
      <c r="L38" s="214"/>
      <c r="M38" s="214"/>
      <c r="N38" s="214"/>
    </row>
    <row r="39" spans="2:14" ht="30" customHeight="1">
      <c r="B39" s="1255"/>
      <c r="C39" s="1255"/>
      <c r="D39" s="1256"/>
      <c r="E39" s="1256"/>
      <c r="F39" s="1256"/>
      <c r="G39" s="1256"/>
      <c r="H39" s="214"/>
      <c r="I39" s="214"/>
      <c r="J39" s="1235"/>
      <c r="K39" s="1235"/>
      <c r="L39" s="1235"/>
      <c r="M39" s="214"/>
      <c r="N39" s="214"/>
    </row>
    <row r="40" spans="2:14" ht="21.75" customHeight="1">
      <c r="B40" s="632" t="s">
        <v>783</v>
      </c>
      <c r="C40" s="209"/>
      <c r="D40" s="209"/>
      <c r="E40" s="209"/>
      <c r="F40" s="209"/>
      <c r="G40" s="209"/>
      <c r="H40" s="209"/>
      <c r="I40" s="209"/>
      <c r="J40" s="209"/>
      <c r="K40" s="209"/>
      <c r="L40" s="209"/>
      <c r="M40" s="209"/>
      <c r="N40" s="214"/>
    </row>
    <row r="41" spans="2:14" ht="21.75" customHeight="1">
      <c r="B41" s="633"/>
      <c r="C41" s="1238"/>
      <c r="D41" s="1238"/>
      <c r="E41" s="1238"/>
      <c r="F41" s="1238"/>
      <c r="G41" s="1238"/>
      <c r="H41" s="1238"/>
      <c r="I41" s="1238"/>
      <c r="J41" s="1238"/>
      <c r="K41" s="1239"/>
      <c r="L41" s="1239"/>
      <c r="M41" s="213"/>
      <c r="N41" s="214"/>
    </row>
    <row r="42" spans="2:14" ht="25.5" customHeight="1">
      <c r="B42" s="637" t="s">
        <v>433</v>
      </c>
      <c r="C42" s="1229" t="s">
        <v>2270</v>
      </c>
      <c r="D42" s="1230"/>
      <c r="E42" s="1229" t="s">
        <v>2271</v>
      </c>
      <c r="F42" s="1230"/>
      <c r="G42" s="1229" t="s">
        <v>2272</v>
      </c>
      <c r="H42" s="1230"/>
      <c r="I42" s="1229" t="s">
        <v>2274</v>
      </c>
      <c r="J42" s="1231"/>
      <c r="K42" s="1231"/>
      <c r="L42" s="1230"/>
      <c r="M42" s="199"/>
      <c r="N42" s="214"/>
    </row>
    <row r="43" spans="2:14" ht="25.5" customHeight="1">
      <c r="B43" s="640" t="str">
        <f>IF(Worksheet!D110="","",Worksheet!D110)</f>
        <v/>
      </c>
      <c r="C43" s="1225" t="str">
        <f>IF(Worksheet!D112="","",Worksheet!D112)</f>
        <v/>
      </c>
      <c r="D43" s="1225"/>
      <c r="E43" s="1226" t="str">
        <f>IF(Worksheet!D116="","",Worksheet!D116)</f>
        <v/>
      </c>
      <c r="F43" s="1226"/>
      <c r="G43" s="1225"/>
      <c r="H43" s="1225"/>
      <c r="I43" s="1250"/>
      <c r="J43" s="1251"/>
      <c r="K43" s="1251"/>
      <c r="L43" s="1252"/>
      <c r="M43" s="199"/>
      <c r="N43" s="214"/>
    </row>
    <row r="44" spans="2:14" ht="25.5" customHeight="1">
      <c r="B44" s="640" t="str">
        <f>IF(Worksheet!J110="","",Worksheet!J110)</f>
        <v/>
      </c>
      <c r="C44" s="1225" t="str">
        <f>IF(Worksheet!J112="","",Worksheet!J112)</f>
        <v/>
      </c>
      <c r="D44" s="1225"/>
      <c r="E44" s="1226" t="str">
        <f>IF(Worksheet!J116="","",Worksheet!J116)</f>
        <v/>
      </c>
      <c r="F44" s="1226"/>
      <c r="G44" s="1225"/>
      <c r="H44" s="1225"/>
      <c r="I44" s="1250"/>
      <c r="J44" s="1251"/>
      <c r="K44" s="1251"/>
      <c r="L44" s="1252"/>
      <c r="M44" s="199"/>
      <c r="N44" s="214"/>
    </row>
    <row r="45" spans="2:14" ht="25.5" customHeight="1">
      <c r="B45" s="640" t="str">
        <f>IF(Worksheet!D120="","",Worksheet!D120)</f>
        <v/>
      </c>
      <c r="C45" s="1225" t="str">
        <f>IF(Worksheet!D122="","",Worksheet!D122)</f>
        <v/>
      </c>
      <c r="D45" s="1225"/>
      <c r="E45" s="1226" t="str">
        <f>IF(Worksheet!D126="","",Worksheet!D126)</f>
        <v/>
      </c>
      <c r="F45" s="1226"/>
      <c r="G45" s="1225"/>
      <c r="H45" s="1225"/>
      <c r="I45" s="1250"/>
      <c r="J45" s="1251"/>
      <c r="K45" s="1251"/>
      <c r="L45" s="1252"/>
      <c r="M45" s="199"/>
      <c r="N45" s="214"/>
    </row>
    <row r="46" spans="2:14" ht="21.65" customHeight="1">
      <c r="B46" s="640" t="str">
        <f>IF(Worksheet!J120="","",Worksheet!J120)</f>
        <v/>
      </c>
      <c r="C46" s="1225" t="str">
        <f>IF(Worksheet!J122="","",Worksheet!J122)</f>
        <v/>
      </c>
      <c r="D46" s="1225"/>
      <c r="E46" s="1226" t="str">
        <f>IF(Worksheet!J126="","",Worksheet!J126)</f>
        <v/>
      </c>
      <c r="F46" s="1226"/>
      <c r="G46" s="1225"/>
      <c r="H46" s="1225"/>
      <c r="I46" s="1250"/>
      <c r="J46" s="1251"/>
      <c r="K46" s="1251"/>
      <c r="L46" s="1252"/>
      <c r="M46" s="199"/>
      <c r="N46" s="214"/>
    </row>
    <row r="47" spans="2:14" ht="21.65" customHeight="1">
      <c r="B47" s="640" t="str">
        <f>IF(Worksheet!D130="","",Worksheet!D130)</f>
        <v/>
      </c>
      <c r="C47" s="1225" t="str">
        <f>IF(Worksheet!D132="","",Worksheet!D132)</f>
        <v/>
      </c>
      <c r="D47" s="1225"/>
      <c r="E47" s="1226" t="str">
        <f>IF(Worksheet!D136="","",Worksheet!D136)</f>
        <v/>
      </c>
      <c r="F47" s="1226"/>
      <c r="G47" s="1225"/>
      <c r="H47" s="1225"/>
      <c r="I47" s="1250"/>
      <c r="J47" s="1251"/>
      <c r="K47" s="1251"/>
      <c r="L47" s="1252"/>
      <c r="M47" s="199"/>
      <c r="N47" s="214"/>
    </row>
    <row r="48" spans="2:14" ht="21.75" customHeight="1">
      <c r="B48" s="651" t="s">
        <v>2273</v>
      </c>
      <c r="C48" s="642"/>
      <c r="D48" s="642"/>
      <c r="E48" s="645"/>
      <c r="F48" s="646"/>
      <c r="G48" s="642"/>
      <c r="H48" s="642"/>
      <c r="J48" s="643"/>
      <c r="K48" s="643"/>
      <c r="L48" s="638"/>
      <c r="M48" s="638"/>
      <c r="N48" s="214"/>
    </row>
    <row r="49" spans="2:14" ht="21.75" customHeight="1">
      <c r="B49" s="636"/>
      <c r="C49" s="1233"/>
      <c r="D49" s="1233"/>
      <c r="E49" s="642"/>
      <c r="F49" s="643"/>
      <c r="G49" s="1233"/>
      <c r="H49" s="1233"/>
      <c r="J49" s="1257"/>
      <c r="K49" s="1257"/>
      <c r="L49" s="1232"/>
      <c r="M49" s="1232"/>
      <c r="N49" s="214"/>
    </row>
    <row r="50" spans="2:14" ht="21.75" customHeight="1">
      <c r="B50" s="632" t="s">
        <v>1759</v>
      </c>
      <c r="C50" s="1233"/>
      <c r="D50" s="1233"/>
      <c r="E50" s="642"/>
      <c r="F50" s="644"/>
      <c r="G50" s="1233"/>
      <c r="H50" s="1233"/>
      <c r="I50" s="642"/>
      <c r="J50" s="642"/>
      <c r="K50" s="638"/>
      <c r="L50" s="638"/>
      <c r="M50" s="199"/>
      <c r="N50" s="214"/>
    </row>
    <row r="51" spans="2:14" ht="21.75" customHeight="1">
      <c r="B51" s="634"/>
      <c r="C51" s="634"/>
      <c r="D51" s="214"/>
      <c r="E51" s="214"/>
      <c r="F51" s="214"/>
      <c r="G51" s="214"/>
      <c r="H51" s="214"/>
      <c r="I51" s="214"/>
      <c r="J51" s="214"/>
      <c r="K51" s="214"/>
      <c r="L51" s="214"/>
      <c r="M51" s="214"/>
      <c r="N51" s="214"/>
    </row>
    <row r="52" spans="2:14" ht="21.75" customHeight="1">
      <c r="B52" s="1227" t="s">
        <v>2275</v>
      </c>
      <c r="C52" s="1227"/>
      <c r="D52" s="1223" t="s">
        <v>2276</v>
      </c>
      <c r="E52" s="1228"/>
      <c r="F52" s="1224"/>
      <c r="G52" s="1229" t="s">
        <v>2277</v>
      </c>
      <c r="H52" s="1230"/>
      <c r="I52" s="1229" t="s">
        <v>2251</v>
      </c>
      <c r="J52" s="1231"/>
      <c r="K52" s="1231"/>
      <c r="L52" s="1230"/>
      <c r="M52" s="214"/>
      <c r="N52" s="214"/>
    </row>
    <row r="53" spans="2:14" ht="21.75" customHeight="1">
      <c r="B53" s="1225" t="str">
        <f>IF(Worksheet!J147="","","Yes")</f>
        <v/>
      </c>
      <c r="C53" s="1225"/>
      <c r="D53" s="1220" t="str">
        <f>IF(Worksheet!D152="","",Worksheet!D152&amp;" feet")</f>
        <v/>
      </c>
      <c r="E53" s="1222"/>
      <c r="F53" s="1221"/>
      <c r="G53" s="1220" t="str">
        <f>IF(Worksheet!D154="","",Worksheet!D154&amp;" feet")</f>
        <v/>
      </c>
      <c r="H53" s="1221"/>
      <c r="I53" s="1220"/>
      <c r="J53" s="1222"/>
      <c r="K53" s="1222"/>
      <c r="L53" s="1221"/>
      <c r="M53" s="214"/>
      <c r="N53" s="214"/>
    </row>
    <row r="54" spans="2:14" ht="21.75" customHeight="1">
      <c r="B54" s="633"/>
      <c r="C54" s="648"/>
      <c r="D54" s="648"/>
      <c r="E54" s="648"/>
      <c r="F54" s="648"/>
      <c r="G54" s="648"/>
      <c r="H54" s="648"/>
      <c r="I54" s="648"/>
      <c r="J54" s="648"/>
      <c r="K54" s="649"/>
      <c r="L54" s="649"/>
      <c r="M54" s="214"/>
      <c r="N54" s="214"/>
    </row>
    <row r="55" spans="2:14" ht="21.75" customHeight="1">
      <c r="B55" s="632" t="s">
        <v>1575</v>
      </c>
      <c r="C55" s="648"/>
      <c r="D55" s="648"/>
      <c r="E55" s="648"/>
      <c r="F55" s="648"/>
      <c r="G55" s="648"/>
      <c r="H55" s="648"/>
      <c r="I55" s="648"/>
      <c r="J55" s="648"/>
      <c r="K55" s="649"/>
      <c r="L55" s="649"/>
      <c r="M55" s="214"/>
      <c r="N55" s="214"/>
    </row>
    <row r="56" spans="2:14" ht="21.75" customHeight="1">
      <c r="B56" s="633"/>
      <c r="C56" s="648"/>
      <c r="D56" s="648"/>
      <c r="E56" s="648"/>
      <c r="F56" s="648"/>
      <c r="G56" s="648"/>
      <c r="H56" s="648"/>
      <c r="I56" s="648"/>
      <c r="J56" s="648"/>
      <c r="K56" s="649"/>
      <c r="L56" s="649"/>
      <c r="M56" s="214"/>
      <c r="N56" s="214"/>
    </row>
    <row r="57" spans="2:14" ht="21.75" customHeight="1">
      <c r="B57" s="652" t="s">
        <v>2278</v>
      </c>
      <c r="C57" s="1223" t="s">
        <v>2279</v>
      </c>
      <c r="D57" s="1224"/>
      <c r="E57" s="1223" t="s">
        <v>1767</v>
      </c>
      <c r="F57" s="1224"/>
      <c r="G57" s="1229" t="s">
        <v>2280</v>
      </c>
      <c r="H57" s="1230"/>
      <c r="I57" s="1229" t="s">
        <v>2251</v>
      </c>
      <c r="J57" s="1231"/>
      <c r="K57" s="1231"/>
      <c r="L57" s="1230"/>
      <c r="M57" s="214"/>
      <c r="N57" s="214"/>
    </row>
    <row r="58" spans="2:14" ht="21.75" customHeight="1">
      <c r="B58" s="639" t="str">
        <f>IF(Worksheet!D168="","",Worksheet!D168)</f>
        <v/>
      </c>
      <c r="C58" s="1220" t="str">
        <f>IF(Worksheet!D170="","",Worksheet!D170&amp;" feet")</f>
        <v/>
      </c>
      <c r="D58" s="1221"/>
      <c r="E58" s="1220" t="str">
        <f>IF(Worksheet!D172="","",Worksheet!D172&amp;" inches")</f>
        <v/>
      </c>
      <c r="F58" s="1221"/>
      <c r="G58" s="1220" t="str">
        <f>IF(Worksheet!D174="","",Worksheet!D174&amp;" inches")</f>
        <v/>
      </c>
      <c r="H58" s="1221"/>
      <c r="I58" s="1220"/>
      <c r="J58" s="1222"/>
      <c r="K58" s="1222"/>
      <c r="L58" s="1221"/>
      <c r="M58" s="214"/>
      <c r="N58" s="214"/>
    </row>
    <row r="59" spans="2:14" ht="16.5" customHeight="1">
      <c r="B59" s="633"/>
      <c r="C59" s="648"/>
      <c r="D59" s="648"/>
      <c r="E59" s="648"/>
      <c r="F59" s="648"/>
      <c r="G59" s="648"/>
      <c r="H59" s="648"/>
      <c r="I59" s="648"/>
      <c r="J59" s="648"/>
      <c r="K59" s="649"/>
      <c r="L59" s="649"/>
      <c r="M59" s="215"/>
      <c r="N59" s="215"/>
    </row>
    <row r="60" spans="2:14" ht="20.149999999999999" customHeight="1">
      <c r="B60" s="211" t="s">
        <v>2281</v>
      </c>
      <c r="C60" s="648"/>
      <c r="D60" s="648"/>
      <c r="E60" s="648"/>
      <c r="F60" s="648"/>
      <c r="G60" s="648"/>
      <c r="H60" s="648"/>
      <c r="I60" s="1219"/>
      <c r="J60" s="1219"/>
      <c r="K60" s="1219"/>
      <c r="L60" s="649"/>
      <c r="M60" s="214"/>
      <c r="N60" s="214"/>
    </row>
    <row r="61" spans="2:14" ht="21.75" customHeight="1">
      <c r="B61" s="211" t="s">
        <v>2282</v>
      </c>
      <c r="C61" s="648"/>
      <c r="D61" s="648"/>
      <c r="E61" s="648"/>
      <c r="F61" s="648"/>
      <c r="G61" s="1219"/>
      <c r="H61" s="1219"/>
      <c r="I61" s="648"/>
      <c r="J61" s="648"/>
      <c r="K61" s="649"/>
      <c r="L61" s="649"/>
      <c r="M61" s="216"/>
      <c r="N61" s="216"/>
    </row>
    <row r="62" spans="2:14" ht="16.5" customHeight="1">
      <c r="B62" s="199"/>
      <c r="C62" s="206"/>
      <c r="D62" s="635"/>
      <c r="E62" s="214"/>
      <c r="F62" s="214"/>
      <c r="G62" s="214"/>
      <c r="H62" s="214"/>
      <c r="I62" s="214"/>
      <c r="J62" s="214"/>
      <c r="K62" s="214"/>
      <c r="L62" s="214"/>
      <c r="N62" s="206"/>
    </row>
    <row r="63" spans="2:14" ht="22.4" customHeight="1">
      <c r="C63" s="217"/>
      <c r="D63" s="1249"/>
      <c r="E63" s="1249"/>
      <c r="F63" s="1249"/>
      <c r="G63" s="1249"/>
      <c r="H63" s="1249"/>
      <c r="I63" s="1249"/>
      <c r="J63" s="1249"/>
      <c r="K63" s="1249"/>
      <c r="L63" s="218"/>
      <c r="M63" s="217"/>
      <c r="N63" s="214"/>
    </row>
    <row r="64" spans="2:14" ht="22.4" customHeight="1">
      <c r="B64" s="483" t="s">
        <v>189</v>
      </c>
      <c r="C64" s="1247"/>
      <c r="D64" s="1247"/>
      <c r="E64" s="1247"/>
      <c r="F64" s="1247"/>
      <c r="G64" s="1247"/>
      <c r="H64" s="1247"/>
      <c r="I64" s="1247"/>
      <c r="J64" s="1247"/>
      <c r="K64" s="1247"/>
      <c r="L64" s="1247"/>
      <c r="M64" s="217"/>
      <c r="N64" s="214"/>
    </row>
    <row r="65" spans="2:14" ht="22.4" customHeight="1">
      <c r="B65" s="1245"/>
      <c r="C65" s="1245"/>
      <c r="D65" s="1245"/>
      <c r="E65" s="1245"/>
      <c r="F65" s="1245"/>
      <c r="G65" s="1245"/>
      <c r="H65" s="1245"/>
      <c r="I65" s="1245"/>
      <c r="J65" s="1245"/>
      <c r="K65" s="1245"/>
      <c r="L65" s="1245"/>
      <c r="M65" s="217"/>
      <c r="N65" s="214"/>
    </row>
    <row r="66" spans="2:14" ht="22.4" customHeight="1">
      <c r="B66" s="1246"/>
      <c r="C66" s="1246"/>
      <c r="D66" s="1246"/>
      <c r="E66" s="1246"/>
      <c r="F66" s="1246"/>
      <c r="G66" s="1246"/>
      <c r="H66" s="1246"/>
      <c r="I66" s="1246"/>
      <c r="J66" s="1246"/>
      <c r="K66" s="1246"/>
      <c r="L66" s="1246"/>
      <c r="M66" s="217"/>
      <c r="N66" s="214"/>
    </row>
    <row r="67" spans="2:14" ht="15.5">
      <c r="B67" s="219"/>
      <c r="J67" s="220"/>
    </row>
    <row r="68" spans="2:14" ht="32.15" customHeight="1">
      <c r="B68" s="219" t="s">
        <v>108</v>
      </c>
      <c r="D68" s="1019"/>
      <c r="E68" s="1019"/>
      <c r="F68" s="1019"/>
      <c r="G68" s="1019"/>
      <c r="J68" s="220" t="s">
        <v>9</v>
      </c>
      <c r="K68" s="1248"/>
      <c r="L68" s="1248"/>
    </row>
    <row r="69" spans="2:14"/>
    <row r="70" spans="2:14"/>
    <row r="71" spans="2:14"/>
    <row r="72" spans="2:14"/>
    <row r="73" spans="2:14"/>
    <row r="74" spans="2:14"/>
    <row r="75" spans="2:14"/>
    <row r="76" spans="2:14"/>
    <row r="77" spans="2:14"/>
    <row r="78" spans="2:14"/>
    <row r="79" spans="2:14"/>
    <row r="80" spans="2:14"/>
    <row r="81"/>
    <row r="82"/>
    <row r="83"/>
    <row r="84"/>
    <row r="85"/>
    <row r="86"/>
    <row r="87"/>
    <row r="88"/>
    <row r="89"/>
  </sheetData>
  <sheetProtection algorithmName="SHA-512" hashValue="YVDcxPnOuxbFOGca7ussgFy0EAqoTRmK/FKdGYiKrPZoPb7TapyDZPl2SS5S1oZ8YwwRbXykqV6Of8oKEHNgcA==" saltValue="ljV+bP3sSyXwqM57L4oQVw==" spinCount="100000" sheet="1" objects="1" scenarios="1"/>
  <mergeCells count="119">
    <mergeCell ref="I42:L42"/>
    <mergeCell ref="I43:L43"/>
    <mergeCell ref="I44:L44"/>
    <mergeCell ref="I45:L45"/>
    <mergeCell ref="I46:L46"/>
    <mergeCell ref="I47:L47"/>
    <mergeCell ref="J49:K49"/>
    <mergeCell ref="L49:M49"/>
    <mergeCell ref="B53:C53"/>
    <mergeCell ref="C45:D45"/>
    <mergeCell ref="E45:F45"/>
    <mergeCell ref="G45:H45"/>
    <mergeCell ref="C46:D46"/>
    <mergeCell ref="E46:F46"/>
    <mergeCell ref="G46:H46"/>
    <mergeCell ref="C47:D47"/>
    <mergeCell ref="E47:F47"/>
    <mergeCell ref="G47:H47"/>
    <mergeCell ref="C50:D50"/>
    <mergeCell ref="G50:H50"/>
    <mergeCell ref="C49:D49"/>
    <mergeCell ref="G49:H49"/>
    <mergeCell ref="C42:D42"/>
    <mergeCell ref="E42:F42"/>
    <mergeCell ref="I28:L28"/>
    <mergeCell ref="I29:L29"/>
    <mergeCell ref="I30:L30"/>
    <mergeCell ref="J34:K34"/>
    <mergeCell ref="L34:M34"/>
    <mergeCell ref="J35:K35"/>
    <mergeCell ref="L35:M35"/>
    <mergeCell ref="B39:C39"/>
    <mergeCell ref="C35:D35"/>
    <mergeCell ref="C34:D34"/>
    <mergeCell ref="G34:H34"/>
    <mergeCell ref="G35:H35"/>
    <mergeCell ref="D39:G39"/>
    <mergeCell ref="C31:D31"/>
    <mergeCell ref="I32:J32"/>
    <mergeCell ref="C28:D28"/>
    <mergeCell ref="E28:F28"/>
    <mergeCell ref="G28:H28"/>
    <mergeCell ref="G29:H29"/>
    <mergeCell ref="E29:F29"/>
    <mergeCell ref="C29:D29"/>
    <mergeCell ref="D68:G68"/>
    <mergeCell ref="B65:L65"/>
    <mergeCell ref="B66:L66"/>
    <mergeCell ref="C64:L64"/>
    <mergeCell ref="K68:L68"/>
    <mergeCell ref="D63:E63"/>
    <mergeCell ref="F63:G63"/>
    <mergeCell ref="H63:I63"/>
    <mergeCell ref="J63:K63"/>
    <mergeCell ref="C7:F7"/>
    <mergeCell ref="I7:L7"/>
    <mergeCell ref="C11:F11"/>
    <mergeCell ref="I11:L11"/>
    <mergeCell ref="C13:F13"/>
    <mergeCell ref="I13:L13"/>
    <mergeCell ref="C15:F15"/>
    <mergeCell ref="C19:F19"/>
    <mergeCell ref="I19:L19"/>
    <mergeCell ref="C21:F21"/>
    <mergeCell ref="I21:L21"/>
    <mergeCell ref="I15:J15"/>
    <mergeCell ref="C26:D26"/>
    <mergeCell ref="E26:F26"/>
    <mergeCell ref="G26:H26"/>
    <mergeCell ref="I26:J26"/>
    <mergeCell ref="K26:L26"/>
    <mergeCell ref="C27:D27"/>
    <mergeCell ref="E27:F27"/>
    <mergeCell ref="G27:H27"/>
    <mergeCell ref="I27:L27"/>
    <mergeCell ref="G42:H42"/>
    <mergeCell ref="C43:D43"/>
    <mergeCell ref="E43:F43"/>
    <mergeCell ref="G43:H43"/>
    <mergeCell ref="K32:L32"/>
    <mergeCell ref="C30:D30"/>
    <mergeCell ref="E30:F30"/>
    <mergeCell ref="G30:H30"/>
    <mergeCell ref="K31:L31"/>
    <mergeCell ref="I31:J31"/>
    <mergeCell ref="G31:H31"/>
    <mergeCell ref="E31:F31"/>
    <mergeCell ref="J39:L39"/>
    <mergeCell ref="C32:D32"/>
    <mergeCell ref="E32:F32"/>
    <mergeCell ref="G32:H32"/>
    <mergeCell ref="C36:D36"/>
    <mergeCell ref="G36:H36"/>
    <mergeCell ref="C38:D38"/>
    <mergeCell ref="C41:D41"/>
    <mergeCell ref="E41:F41"/>
    <mergeCell ref="G41:H41"/>
    <mergeCell ref="I41:J41"/>
    <mergeCell ref="K41:L41"/>
    <mergeCell ref="G61:H61"/>
    <mergeCell ref="G58:H58"/>
    <mergeCell ref="I58:L58"/>
    <mergeCell ref="C57:D57"/>
    <mergeCell ref="C58:D58"/>
    <mergeCell ref="E57:F57"/>
    <mergeCell ref="E58:F58"/>
    <mergeCell ref="I60:K60"/>
    <mergeCell ref="C44:D44"/>
    <mergeCell ref="E44:F44"/>
    <mergeCell ref="G44:H44"/>
    <mergeCell ref="B52:C52"/>
    <mergeCell ref="D52:F52"/>
    <mergeCell ref="D53:F53"/>
    <mergeCell ref="G52:H52"/>
    <mergeCell ref="G53:H53"/>
    <mergeCell ref="I52:L52"/>
    <mergeCell ref="I53:L53"/>
    <mergeCell ref="G57:H57"/>
    <mergeCell ref="I57:L57"/>
  </mergeCells>
  <conditionalFormatting sqref="B53:C53 B58">
    <cfRule type="expression" dxfId="35" priority="4" stopIfTrue="1">
      <formula>B53&lt;&gt;""</formula>
    </cfRule>
  </conditionalFormatting>
  <conditionalFormatting sqref="B53:D53 G53 I53 B58:C58 G58 I58">
    <cfRule type="expression" dxfId="34" priority="2">
      <formula>B53&lt;&gt;""</formula>
    </cfRule>
  </conditionalFormatting>
  <conditionalFormatting sqref="B28:L30 B43:I47">
    <cfRule type="expression" dxfId="33" priority="10">
      <formula>B28&lt;&gt;""</formula>
    </cfRule>
  </conditionalFormatting>
  <conditionalFormatting sqref="C34:E36 C48:E50">
    <cfRule type="expression" dxfId="32" priority="6" stopIfTrue="1">
      <formula>C34&lt;&gt;""</formula>
    </cfRule>
  </conditionalFormatting>
  <conditionalFormatting sqref="C28:I30 C43:I47 C31:J33 G36:J36 G50:J50">
    <cfRule type="expression" dxfId="31" priority="13" stopIfTrue="1">
      <formula>C28&lt;&gt;""</formula>
    </cfRule>
  </conditionalFormatting>
  <conditionalFormatting sqref="C54:J56 C59:J59 C60:I60 C61:G61 I61:J61">
    <cfRule type="expression" dxfId="30" priority="12" stopIfTrue="1">
      <formula>C54&lt;&gt;""</formula>
    </cfRule>
  </conditionalFormatting>
  <conditionalFormatting sqref="E58">
    <cfRule type="expression" dxfId="29" priority="1">
      <formula>E58&lt;&gt;""</formula>
    </cfRule>
  </conditionalFormatting>
  <conditionalFormatting sqref="G34:G35 G48:G49">
    <cfRule type="expression" dxfId="28" priority="7" stopIfTrue="1">
      <formula>G34&lt;&gt;""</formula>
    </cfRule>
  </conditionalFormatting>
  <dataValidations count="1">
    <dataValidation type="list" allowBlank="1" showInputMessage="1" showErrorMessage="1" sqref="C34:D36 G34:H36 L34:M35 G49:H50 L49 M48:M49 C49:D50 I60:K60 G61:H61" xr:uid="{B710E60F-5FF8-4BDE-A5E4-ACFE7D7B5921}">
      <formula1>YES_NO</formula1>
    </dataValidation>
  </dataValidations>
  <pageMargins left="0.7" right="0.7" top="1.0416666666666666E-2" bottom="0.75" header="0.3" footer="0.3"/>
  <pageSetup scale="60" orientation="portrait" horizontalDpi="4294967295" verticalDpi="4294967295" r:id="rId1"/>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rowBreaks count="1" manualBreakCount="1">
    <brk id="48"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48656" r:id="rId4" name="Group Box 528">
              <controlPr defaultSize="0" autoFill="0" autoPict="0">
                <anchor moveWithCells="1">
                  <from>
                    <xdr:col>0</xdr:col>
                    <xdr:colOff>57150</xdr:colOff>
                    <xdr:row>35</xdr:row>
                    <xdr:rowOff>0</xdr:rowOff>
                  </from>
                  <to>
                    <xdr:col>3</xdr:col>
                    <xdr:colOff>285750</xdr:colOff>
                    <xdr:row>38</xdr:row>
                    <xdr:rowOff>0</xdr:rowOff>
                  </to>
                </anchor>
              </controlPr>
            </control>
          </mc:Choice>
        </mc:AlternateContent>
        <mc:AlternateContent xmlns:mc="http://schemas.openxmlformats.org/markup-compatibility/2006">
          <mc:Choice Requires="x14">
            <control shapeId="48659" r:id="rId5" name="Group Box 531">
              <controlPr defaultSize="0" autoFill="0" autoPict="0">
                <anchor moveWithCells="1">
                  <from>
                    <xdr:col>0</xdr:col>
                    <xdr:colOff>57150</xdr:colOff>
                    <xdr:row>58</xdr:row>
                    <xdr:rowOff>114300</xdr:rowOff>
                  </from>
                  <to>
                    <xdr:col>3</xdr:col>
                    <xdr:colOff>247650</xdr:colOff>
                    <xdr:row>61</xdr:row>
                    <xdr:rowOff>114300</xdr:rowOff>
                  </to>
                </anchor>
              </controlPr>
            </control>
          </mc:Choice>
        </mc:AlternateContent>
        <mc:AlternateContent xmlns:mc="http://schemas.openxmlformats.org/markup-compatibility/2006">
          <mc:Choice Requires="x14">
            <control shapeId="48661" r:id="rId6" name="Group Box 533">
              <controlPr defaultSize="0" autoFill="0" autoPict="0">
                <anchor moveWithCells="1">
                  <from>
                    <xdr:col>0</xdr:col>
                    <xdr:colOff>57150</xdr:colOff>
                    <xdr:row>49</xdr:row>
                    <xdr:rowOff>0</xdr:rowOff>
                  </from>
                  <to>
                    <xdr:col>3</xdr:col>
                    <xdr:colOff>285750</xdr:colOff>
                    <xdr:row>52</xdr:row>
                    <xdr:rowOff>38100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
    <tabColor rgb="FFFF0000"/>
  </sheetPr>
  <dimension ref="A1:BE528"/>
  <sheetViews>
    <sheetView topLeftCell="N1" zoomScaleNormal="100" workbookViewId="0">
      <selection activeCell="N13" sqref="N13"/>
    </sheetView>
  </sheetViews>
  <sheetFormatPr defaultRowHeight="14.5"/>
  <cols>
    <col min="1" max="1" width="17" bestFit="1" customWidth="1"/>
    <col min="2" max="2" width="21.26953125" bestFit="1" customWidth="1"/>
    <col min="3" max="3" width="22.54296875" bestFit="1" customWidth="1"/>
    <col min="4" max="4" width="16.81640625" customWidth="1"/>
    <col min="8" max="8" width="8.7265625" style="804"/>
    <col min="10" max="10" width="36.54296875" customWidth="1"/>
    <col min="11" max="11" width="27.26953125" bestFit="1" customWidth="1"/>
    <col min="12" max="12" width="27.1796875" bestFit="1" customWidth="1"/>
    <col min="14" max="14" width="25.453125" bestFit="1" customWidth="1"/>
    <col min="16" max="16" width="8.7265625" style="804"/>
    <col min="18" max="18" width="92.7265625" bestFit="1" customWidth="1"/>
    <col min="19" max="19" width="24.453125" bestFit="1" customWidth="1"/>
    <col min="20" max="20" width="51.81640625" bestFit="1" customWidth="1"/>
    <col min="21" max="21" width="16.453125" customWidth="1"/>
    <col min="22" max="22" width="17.453125" bestFit="1" customWidth="1"/>
    <col min="23" max="23" width="43.1796875" bestFit="1" customWidth="1"/>
    <col min="24" max="24" width="19.453125" bestFit="1" customWidth="1"/>
    <col min="25" max="25" width="17.453125" bestFit="1" customWidth="1"/>
    <col min="26" max="26" width="44" bestFit="1" customWidth="1"/>
    <col min="27" max="27" width="18.54296875" bestFit="1" customWidth="1"/>
    <col min="28" max="28" width="19.7265625" bestFit="1" customWidth="1"/>
    <col min="29" max="29" width="16.54296875" bestFit="1" customWidth="1"/>
    <col min="30" max="30" width="12.7265625" bestFit="1" customWidth="1"/>
    <col min="31" max="31" width="8" bestFit="1" customWidth="1"/>
    <col min="32" max="32" width="15.81640625" bestFit="1" customWidth="1"/>
    <col min="33" max="33" width="14.453125" bestFit="1" customWidth="1"/>
    <col min="34" max="34" width="12.1796875" bestFit="1" customWidth="1"/>
    <col min="35" max="35" width="18.7265625" customWidth="1"/>
    <col min="36" max="36" width="14.7265625" customWidth="1"/>
    <col min="37" max="37" width="6.54296875" style="804" customWidth="1"/>
    <col min="38" max="39" width="6.54296875" customWidth="1"/>
    <col min="40" max="40" width="13.54296875" customWidth="1"/>
    <col min="41" max="41" width="20.81640625" customWidth="1"/>
    <col min="45" max="45" width="30.54296875" bestFit="1" customWidth="1"/>
    <col min="46" max="46" width="19.7265625" customWidth="1"/>
    <col min="47" max="47" width="38" bestFit="1" customWidth="1"/>
    <col min="48" max="48" width="29.81640625" bestFit="1" customWidth="1"/>
    <col min="49" max="49" width="32.54296875" bestFit="1" customWidth="1"/>
    <col min="50" max="50" width="30.1796875" bestFit="1" customWidth="1"/>
    <col min="51" max="51" width="32.81640625" bestFit="1" customWidth="1"/>
    <col min="52" max="52" width="28.453125" bestFit="1" customWidth="1"/>
    <col min="53" max="53" width="28.7265625" customWidth="1"/>
    <col min="54" max="54" width="35.54296875" bestFit="1" customWidth="1"/>
    <col min="55" max="55" width="5.54296875" bestFit="1" customWidth="1"/>
    <col min="56" max="56" width="14.453125" bestFit="1" customWidth="1"/>
    <col min="57" max="57" width="21.453125" customWidth="1"/>
    <col min="58" max="58" width="16.26953125" bestFit="1" customWidth="1"/>
    <col min="59" max="59" width="35.26953125" bestFit="1" customWidth="1"/>
  </cols>
  <sheetData>
    <row r="1" spans="1:57" ht="16" thickBot="1">
      <c r="A1" s="1271" t="s">
        <v>129</v>
      </c>
      <c r="B1" s="1272"/>
      <c r="C1" s="1272"/>
      <c r="D1" s="1272"/>
      <c r="E1" s="1272"/>
      <c r="F1" s="1273"/>
      <c r="J1" s="1271" t="s">
        <v>2372</v>
      </c>
      <c r="K1" s="1272"/>
      <c r="L1" s="1272"/>
      <c r="M1" s="1272"/>
      <c r="N1" s="1273"/>
      <c r="R1" s="1274" t="s">
        <v>2373</v>
      </c>
      <c r="S1" s="1275"/>
      <c r="T1" s="1275"/>
      <c r="U1" s="1275"/>
      <c r="V1" s="1275"/>
      <c r="W1" s="1275"/>
      <c r="X1" s="1275"/>
      <c r="Y1" s="1275"/>
      <c r="Z1" s="1275"/>
      <c r="AA1" s="1275"/>
      <c r="AB1" s="1275"/>
      <c r="AC1" s="1275"/>
      <c r="AD1" s="1275"/>
      <c r="AE1" s="1275"/>
      <c r="AF1" s="1275"/>
      <c r="AG1" s="1276"/>
      <c r="AN1" s="1274" t="s">
        <v>2380</v>
      </c>
      <c r="AO1" s="1275"/>
      <c r="AP1" s="1275"/>
      <c r="AQ1" s="1275"/>
      <c r="AR1" s="1275"/>
      <c r="AS1" s="1275"/>
      <c r="AT1" s="1275"/>
      <c r="AU1" s="1275"/>
      <c r="AV1" s="1275"/>
      <c r="AW1" s="1275"/>
      <c r="AX1" s="1275"/>
      <c r="AY1" s="1275"/>
      <c r="AZ1" s="1275"/>
      <c r="BA1" s="1275"/>
      <c r="BB1" s="1275"/>
      <c r="BC1" s="1275"/>
      <c r="BD1" s="1275"/>
      <c r="BE1" s="1276"/>
    </row>
    <row r="3" spans="1:57">
      <c r="A3" s="237" t="s">
        <v>2214</v>
      </c>
      <c r="C3" s="237" t="s">
        <v>2218</v>
      </c>
      <c r="J3" s="814" t="s">
        <v>1639</v>
      </c>
      <c r="L3" s="814" t="s">
        <v>1640</v>
      </c>
      <c r="N3" s="814" t="s">
        <v>1643</v>
      </c>
      <c r="R3" s="1260" t="s">
        <v>1024</v>
      </c>
      <c r="S3" s="1260"/>
      <c r="T3" s="1260"/>
      <c r="U3" s="1260"/>
      <c r="V3" s="1260"/>
      <c r="W3" s="1260"/>
      <c r="X3" s="1260"/>
      <c r="Y3" s="1260"/>
      <c r="Z3" s="1260"/>
      <c r="AA3" s="1260"/>
      <c r="AB3" s="1260"/>
      <c r="AC3" s="1260"/>
      <c r="AD3" s="1260"/>
      <c r="AE3" s="1260"/>
      <c r="AF3" s="1260"/>
      <c r="AG3" s="1260"/>
      <c r="AN3" s="235" t="s">
        <v>387</v>
      </c>
      <c r="AU3" s="814" t="s">
        <v>1849</v>
      </c>
      <c r="AV3" s="814" t="s">
        <v>212</v>
      </c>
    </row>
    <row r="4" spans="1:57">
      <c r="A4" s="2" t="s">
        <v>2303</v>
      </c>
      <c r="C4" s="2" t="s">
        <v>2303</v>
      </c>
      <c r="J4" s="824" t="s">
        <v>1659</v>
      </c>
      <c r="L4" s="824" t="s">
        <v>2008</v>
      </c>
      <c r="N4" s="824" t="s">
        <v>1644</v>
      </c>
      <c r="AU4" s="824" t="s">
        <v>1850</v>
      </c>
      <c r="AV4" s="93">
        <v>4.2</v>
      </c>
    </row>
    <row r="5" spans="1:57">
      <c r="A5" s="2" t="s">
        <v>2215</v>
      </c>
      <c r="C5" s="2" t="s">
        <v>2219</v>
      </c>
      <c r="J5" s="824" t="s">
        <v>1660</v>
      </c>
      <c r="L5" s="824" t="s">
        <v>2009</v>
      </c>
      <c r="N5" s="824" t="s">
        <v>1645</v>
      </c>
      <c r="R5" s="807"/>
      <c r="S5" s="808">
        <v>0</v>
      </c>
      <c r="T5" s="808">
        <v>6000</v>
      </c>
      <c r="U5" s="808">
        <v>8000</v>
      </c>
      <c r="V5" s="808">
        <v>14000</v>
      </c>
      <c r="W5" s="808">
        <v>20000</v>
      </c>
      <c r="X5" s="808">
        <v>65000</v>
      </c>
      <c r="Y5" s="808">
        <v>135000</v>
      </c>
      <c r="Z5" s="808">
        <v>240000</v>
      </c>
      <c r="AA5" s="808">
        <v>300000</v>
      </c>
      <c r="AB5" s="808">
        <v>760000</v>
      </c>
      <c r="AC5" s="808">
        <v>2500000</v>
      </c>
      <c r="AD5" s="809">
        <v>1000000000</v>
      </c>
      <c r="AN5" s="95" t="s">
        <v>212</v>
      </c>
      <c r="AO5" s="95" t="s">
        <v>211</v>
      </c>
      <c r="AU5" s="824" t="s">
        <v>1851</v>
      </c>
      <c r="AV5" s="93">
        <v>1.7999999999999999E-2</v>
      </c>
    </row>
    <row r="6" spans="1:57">
      <c r="A6" s="2" t="s">
        <v>2216</v>
      </c>
      <c r="C6" s="2" t="s">
        <v>2220</v>
      </c>
      <c r="J6" s="824" t="s">
        <v>1646</v>
      </c>
      <c r="L6" s="824" t="s">
        <v>2010</v>
      </c>
      <c r="N6" s="826" t="s">
        <v>1172</v>
      </c>
      <c r="R6" s="811" t="s">
        <v>1659</v>
      </c>
      <c r="S6" s="100" t="s">
        <v>1690</v>
      </c>
      <c r="T6" s="100" t="s">
        <v>1690</v>
      </c>
      <c r="U6" s="100" t="s">
        <v>1690</v>
      </c>
      <c r="V6" s="100" t="s">
        <v>1690</v>
      </c>
      <c r="W6" s="100" t="s">
        <v>1690</v>
      </c>
      <c r="X6" s="100" t="s">
        <v>1690</v>
      </c>
      <c r="Y6" s="100" t="s">
        <v>1696</v>
      </c>
      <c r="Z6" s="100" t="s">
        <v>1697</v>
      </c>
      <c r="AA6" s="100" t="s">
        <v>1698</v>
      </c>
      <c r="AB6" s="100" t="s">
        <v>1698</v>
      </c>
      <c r="AC6" s="100" t="s">
        <v>1699</v>
      </c>
      <c r="AD6" s="514" t="s">
        <v>1699</v>
      </c>
      <c r="AN6" s="2" t="s">
        <v>201</v>
      </c>
      <c r="AO6" s="2">
        <v>7</v>
      </c>
      <c r="AU6" s="826" t="s">
        <v>1852</v>
      </c>
      <c r="AV6" s="94">
        <v>60</v>
      </c>
    </row>
    <row r="7" spans="1:57">
      <c r="A7" s="2" t="s">
        <v>2217</v>
      </c>
      <c r="J7" s="824" t="s">
        <v>1647</v>
      </c>
      <c r="L7" s="824" t="s">
        <v>1866</v>
      </c>
      <c r="R7" s="811" t="s">
        <v>1660</v>
      </c>
      <c r="S7" s="100" t="s">
        <v>1690</v>
      </c>
      <c r="T7" s="100" t="s">
        <v>1690</v>
      </c>
      <c r="U7" s="100" t="s">
        <v>1690</v>
      </c>
      <c r="V7" s="100" t="s">
        <v>1690</v>
      </c>
      <c r="W7" s="100" t="s">
        <v>1690</v>
      </c>
      <c r="X7" s="100" t="s">
        <v>1690</v>
      </c>
      <c r="Y7" s="100" t="s">
        <v>1696</v>
      </c>
      <c r="Z7" s="100" t="s">
        <v>1697</v>
      </c>
      <c r="AA7" s="100" t="s">
        <v>1698</v>
      </c>
      <c r="AB7" s="100" t="s">
        <v>1698</v>
      </c>
      <c r="AC7" s="100" t="s">
        <v>1699</v>
      </c>
      <c r="AD7" s="514" t="s">
        <v>1699</v>
      </c>
      <c r="AN7" s="2" t="s">
        <v>54</v>
      </c>
      <c r="AO7" s="2">
        <v>5</v>
      </c>
      <c r="AU7" s="405"/>
      <c r="AV7" s="405"/>
    </row>
    <row r="8" spans="1:57">
      <c r="J8" s="824" t="s">
        <v>1642</v>
      </c>
      <c r="L8" s="824" t="s">
        <v>2011</v>
      </c>
      <c r="N8" s="237" t="s">
        <v>433</v>
      </c>
      <c r="R8" s="811" t="s">
        <v>1646</v>
      </c>
      <c r="S8" s="100" t="s">
        <v>1690</v>
      </c>
      <c r="T8" s="100" t="s">
        <v>1690</v>
      </c>
      <c r="U8" s="100" t="s">
        <v>1690</v>
      </c>
      <c r="V8" s="100" t="s">
        <v>1690</v>
      </c>
      <c r="W8" s="100" t="s">
        <v>1690</v>
      </c>
      <c r="X8" s="100" t="s">
        <v>1690</v>
      </c>
      <c r="Y8" s="100" t="s">
        <v>1696</v>
      </c>
      <c r="Z8" s="100" t="s">
        <v>1697</v>
      </c>
      <c r="AA8" s="100" t="s">
        <v>1698</v>
      </c>
      <c r="AB8" s="100" t="s">
        <v>1698</v>
      </c>
      <c r="AC8" s="100" t="s">
        <v>1699</v>
      </c>
      <c r="AD8" s="514" t="s">
        <v>1699</v>
      </c>
      <c r="AW8" s="810"/>
      <c r="AY8" s="26"/>
      <c r="AZ8" s="100"/>
      <c r="BA8" s="100"/>
      <c r="BB8" s="100"/>
      <c r="BC8" s="549"/>
      <c r="BD8" s="100"/>
      <c r="BE8" s="513"/>
    </row>
    <row r="9" spans="1:57">
      <c r="J9" s="824" t="s">
        <v>1632</v>
      </c>
      <c r="L9" s="824" t="s">
        <v>2012</v>
      </c>
      <c r="N9" s="96" t="s">
        <v>841</v>
      </c>
      <c r="R9" s="811" t="s">
        <v>1647</v>
      </c>
      <c r="S9" s="100" t="s">
        <v>1690</v>
      </c>
      <c r="T9" s="100" t="s">
        <v>1690</v>
      </c>
      <c r="U9" s="100" t="s">
        <v>1690</v>
      </c>
      <c r="V9" s="100" t="s">
        <v>1690</v>
      </c>
      <c r="W9" s="100" t="s">
        <v>1690</v>
      </c>
      <c r="X9" s="100" t="s">
        <v>1690</v>
      </c>
      <c r="Y9" s="100" t="s">
        <v>1696</v>
      </c>
      <c r="Z9" s="100" t="s">
        <v>1697</v>
      </c>
      <c r="AA9" s="100" t="s">
        <v>1698</v>
      </c>
      <c r="AB9" s="100" t="s">
        <v>1698</v>
      </c>
      <c r="AC9" s="100" t="s">
        <v>1699</v>
      </c>
      <c r="AD9" s="514" t="s">
        <v>1699</v>
      </c>
      <c r="AN9" s="236" t="s">
        <v>43</v>
      </c>
      <c r="AU9" s="814" t="s">
        <v>1846</v>
      </c>
      <c r="AV9" s="814" t="s">
        <v>1847</v>
      </c>
      <c r="BE9" s="797"/>
    </row>
    <row r="10" spans="1:57">
      <c r="A10" s="813" t="s">
        <v>1608</v>
      </c>
      <c r="B10" s="814" t="s">
        <v>1608</v>
      </c>
      <c r="C10" s="814" t="s">
        <v>1609</v>
      </c>
      <c r="D10" s="814" t="s">
        <v>1610</v>
      </c>
      <c r="J10" s="824" t="s">
        <v>1633</v>
      </c>
      <c r="L10" s="824" t="s">
        <v>363</v>
      </c>
      <c r="N10" s="96" t="s">
        <v>840</v>
      </c>
      <c r="R10" s="811" t="s">
        <v>1642</v>
      </c>
      <c r="S10" s="100" t="s">
        <v>1690</v>
      </c>
      <c r="T10" s="100" t="s">
        <v>1690</v>
      </c>
      <c r="U10" s="100" t="s">
        <v>1690</v>
      </c>
      <c r="V10" s="100" t="s">
        <v>1690</v>
      </c>
      <c r="W10" s="100" t="s">
        <v>1690</v>
      </c>
      <c r="X10" s="100" t="s">
        <v>1690</v>
      </c>
      <c r="Y10" s="100" t="s">
        <v>1696</v>
      </c>
      <c r="Z10" s="100" t="s">
        <v>1697</v>
      </c>
      <c r="AA10" s="100" t="s">
        <v>1700</v>
      </c>
      <c r="AB10" s="100" t="s">
        <v>1700</v>
      </c>
      <c r="AC10" s="100" t="s">
        <v>1700</v>
      </c>
      <c r="AD10" s="514" t="s">
        <v>1699</v>
      </c>
      <c r="AN10" s="812" t="s">
        <v>15</v>
      </c>
      <c r="AU10" s="824" t="s">
        <v>314</v>
      </c>
      <c r="AV10" s="93">
        <v>82.1</v>
      </c>
      <c r="BE10" s="797"/>
    </row>
    <row r="11" spans="1:57">
      <c r="A11" s="815"/>
      <c r="B11" s="815" t="s">
        <v>1611</v>
      </c>
      <c r="C11" s="815"/>
      <c r="D11" s="815"/>
      <c r="J11" s="824" t="s">
        <v>1634</v>
      </c>
      <c r="L11" s="824" t="s">
        <v>1642</v>
      </c>
      <c r="N11" s="96" t="s">
        <v>839</v>
      </c>
      <c r="R11" s="811" t="s">
        <v>1632</v>
      </c>
      <c r="S11" s="100"/>
      <c r="T11" s="100"/>
      <c r="U11" s="100"/>
      <c r="V11" s="100"/>
      <c r="W11" s="100"/>
      <c r="X11" s="100"/>
      <c r="Y11" s="100"/>
      <c r="Z11" s="100"/>
      <c r="AA11" s="100"/>
      <c r="AB11" s="100"/>
      <c r="AC11" s="100"/>
      <c r="AD11" s="514"/>
      <c r="AN11" s="812" t="s">
        <v>16</v>
      </c>
      <c r="AU11" s="826" t="s">
        <v>315</v>
      </c>
      <c r="AV11" s="524">
        <v>42</v>
      </c>
      <c r="AW11" s="99"/>
      <c r="BE11" s="797"/>
    </row>
    <row r="12" spans="1:57">
      <c r="A12" s="816">
        <v>3</v>
      </c>
      <c r="B12" s="817" t="s">
        <v>1612</v>
      </c>
      <c r="C12" s="817">
        <v>669</v>
      </c>
      <c r="D12" s="817">
        <v>603</v>
      </c>
      <c r="J12" s="824" t="s">
        <v>882</v>
      </c>
      <c r="L12" s="824" t="s">
        <v>1633</v>
      </c>
      <c r="N12" s="96" t="s">
        <v>843</v>
      </c>
      <c r="R12" s="811" t="s">
        <v>1633</v>
      </c>
      <c r="S12" s="100"/>
      <c r="T12" s="100"/>
      <c r="U12" s="100"/>
      <c r="V12" s="100"/>
      <c r="W12" s="100"/>
      <c r="X12" s="100"/>
      <c r="Y12" s="100"/>
      <c r="Z12" s="100"/>
      <c r="AA12" s="100"/>
      <c r="AB12" s="100"/>
      <c r="AC12" s="100"/>
      <c r="AD12" s="514"/>
      <c r="AU12" t="s">
        <v>1848</v>
      </c>
      <c r="AW12" s="810"/>
      <c r="BE12" s="797"/>
    </row>
    <row r="13" spans="1:57">
      <c r="A13" s="816"/>
      <c r="B13" s="817" t="s">
        <v>1613</v>
      </c>
      <c r="C13" s="817">
        <v>426</v>
      </c>
      <c r="D13" s="817">
        <v>1910</v>
      </c>
      <c r="J13" s="824" t="s">
        <v>1635</v>
      </c>
      <c r="L13" s="824" t="s">
        <v>882</v>
      </c>
      <c r="R13" s="811" t="s">
        <v>1634</v>
      </c>
      <c r="S13" s="100"/>
      <c r="T13" s="100"/>
      <c r="U13" s="100"/>
      <c r="V13" s="100"/>
      <c r="W13" s="100"/>
      <c r="X13" s="100"/>
      <c r="Y13" s="100"/>
      <c r="Z13" s="100"/>
      <c r="AA13" s="100"/>
      <c r="AB13" s="100"/>
      <c r="AC13" s="100"/>
      <c r="AD13" s="514"/>
      <c r="AN13" t="s">
        <v>1805</v>
      </c>
      <c r="AO13" t="s">
        <v>1806</v>
      </c>
      <c r="AU13" s="818"/>
      <c r="AX13" s="819"/>
      <c r="BD13" s="797"/>
      <c r="BE13" s="797"/>
    </row>
    <row r="14" spans="1:57">
      <c r="A14" s="816"/>
      <c r="B14" s="817" t="s">
        <v>1614</v>
      </c>
      <c r="C14" s="817">
        <v>1276</v>
      </c>
      <c r="D14" s="817">
        <v>191</v>
      </c>
      <c r="J14" s="824" t="s">
        <v>1636</v>
      </c>
      <c r="L14" s="824" t="s">
        <v>1636</v>
      </c>
      <c r="R14" s="811" t="s">
        <v>882</v>
      </c>
      <c r="S14" s="100"/>
      <c r="T14" s="100"/>
      <c r="U14" s="100"/>
      <c r="V14" s="100"/>
      <c r="W14" s="100"/>
      <c r="X14" s="100"/>
      <c r="Y14" s="100"/>
      <c r="Z14" s="100"/>
      <c r="AA14" s="100"/>
      <c r="AB14" s="100"/>
      <c r="AC14" s="100"/>
      <c r="AD14" s="514"/>
      <c r="AN14" t="s">
        <v>1807</v>
      </c>
      <c r="AU14" s="1258" t="s">
        <v>1825</v>
      </c>
      <c r="AV14" s="1258" t="s">
        <v>1829</v>
      </c>
      <c r="AW14" s="1258" t="s">
        <v>1830</v>
      </c>
      <c r="AX14" s="1258" t="s">
        <v>1831</v>
      </c>
      <c r="AY14" s="1258" t="s">
        <v>1832</v>
      </c>
      <c r="AZ14" s="1258" t="s">
        <v>1833</v>
      </c>
      <c r="BA14" s="1258" t="s">
        <v>1834</v>
      </c>
      <c r="BB14" s="100"/>
      <c r="BC14" s="100"/>
    </row>
    <row r="15" spans="1:57">
      <c r="A15" s="816">
        <v>1</v>
      </c>
      <c r="B15" s="817" t="s">
        <v>1615</v>
      </c>
      <c r="C15" s="817">
        <v>992</v>
      </c>
      <c r="D15" s="817">
        <v>1082</v>
      </c>
      <c r="J15" s="824" t="s">
        <v>1637</v>
      </c>
      <c r="L15" s="824" t="s">
        <v>1637</v>
      </c>
      <c r="R15" s="811" t="s">
        <v>1635</v>
      </c>
      <c r="S15" s="100" t="s">
        <v>1691</v>
      </c>
      <c r="T15" s="100" t="s">
        <v>1691</v>
      </c>
      <c r="U15" s="100" t="s">
        <v>1692</v>
      </c>
      <c r="V15" s="100" t="s">
        <v>1693</v>
      </c>
      <c r="W15" s="100" t="s">
        <v>1694</v>
      </c>
      <c r="X15" s="100" t="s">
        <v>1695</v>
      </c>
      <c r="Y15" s="100" t="s">
        <v>1695</v>
      </c>
      <c r="Z15" s="100" t="s">
        <v>1695</v>
      </c>
      <c r="AA15" s="100" t="s">
        <v>1695</v>
      </c>
      <c r="AB15" s="100" t="s">
        <v>1695</v>
      </c>
      <c r="AC15" s="100" t="s">
        <v>1695</v>
      </c>
      <c r="AD15" s="514" t="s">
        <v>1695</v>
      </c>
      <c r="AN15" t="s">
        <v>1808</v>
      </c>
      <c r="AO15" t="s">
        <v>1809</v>
      </c>
      <c r="AU15" s="1259"/>
      <c r="AV15" s="1259"/>
      <c r="AW15" s="1259"/>
      <c r="AX15" s="1259"/>
      <c r="AY15" s="1259"/>
      <c r="AZ15" s="1259"/>
      <c r="BA15" s="1259"/>
      <c r="BB15" s="100"/>
      <c r="BC15" s="100"/>
    </row>
    <row r="16" spans="1:57">
      <c r="A16" s="816"/>
      <c r="B16" s="817" t="s">
        <v>1616</v>
      </c>
      <c r="C16" s="817">
        <v>645</v>
      </c>
      <c r="D16" s="817">
        <v>813</v>
      </c>
      <c r="J16" s="824" t="s">
        <v>1638</v>
      </c>
      <c r="L16" s="824" t="s">
        <v>1638</v>
      </c>
      <c r="R16" s="811" t="s">
        <v>1636</v>
      </c>
      <c r="S16" s="100" t="s">
        <v>1690</v>
      </c>
      <c r="T16" s="100" t="s">
        <v>1690</v>
      </c>
      <c r="U16" s="100" t="s">
        <v>1690</v>
      </c>
      <c r="V16" s="100" t="s">
        <v>1690</v>
      </c>
      <c r="W16" s="100" t="s">
        <v>1690</v>
      </c>
      <c r="X16" s="100" t="s">
        <v>1690</v>
      </c>
      <c r="Y16" s="100" t="s">
        <v>1696</v>
      </c>
      <c r="Z16" s="100" t="s">
        <v>1697</v>
      </c>
      <c r="AA16" s="100" t="s">
        <v>1700</v>
      </c>
      <c r="AB16" s="100" t="s">
        <v>1700</v>
      </c>
      <c r="AC16" s="100" t="s">
        <v>1700</v>
      </c>
      <c r="AD16" s="514" t="s">
        <v>1700</v>
      </c>
      <c r="AN16" t="s">
        <v>1810</v>
      </c>
      <c r="AU16" s="2" t="s">
        <v>1612</v>
      </c>
      <c r="AV16" s="835">
        <v>76</v>
      </c>
      <c r="AW16" s="835">
        <v>79</v>
      </c>
      <c r="AX16" s="835">
        <v>72</v>
      </c>
      <c r="AY16" s="835">
        <v>69</v>
      </c>
      <c r="AZ16" s="835">
        <f>((AV16*BC16+AW16*(8760-BC16))/8760)</f>
        <v>77.379452054794527</v>
      </c>
      <c r="BA16" s="835">
        <f>((AX16*BC16+AY16*(8760-BC16))/8760)</f>
        <v>70.620547945205473</v>
      </c>
      <c r="BB16" s="100" t="s">
        <v>1835</v>
      </c>
      <c r="BC16" s="100">
        <f>(13)*7*52</f>
        <v>4732</v>
      </c>
    </row>
    <row r="17" spans="1:57">
      <c r="A17" s="816">
        <v>9</v>
      </c>
      <c r="B17" s="817" t="s">
        <v>1617</v>
      </c>
      <c r="C17" s="817">
        <v>574</v>
      </c>
      <c r="D17" s="817">
        <v>821</v>
      </c>
      <c r="J17" s="826" t="s">
        <v>1641</v>
      </c>
      <c r="L17" s="826" t="s">
        <v>1641</v>
      </c>
      <c r="R17" s="811" t="s">
        <v>1637</v>
      </c>
      <c r="S17" s="100" t="s">
        <v>1690</v>
      </c>
      <c r="T17" s="100" t="s">
        <v>1690</v>
      </c>
      <c r="U17" s="100" t="s">
        <v>1690</v>
      </c>
      <c r="V17" s="100" t="s">
        <v>1690</v>
      </c>
      <c r="W17" s="100" t="s">
        <v>1690</v>
      </c>
      <c r="X17" s="100" t="s">
        <v>1690</v>
      </c>
      <c r="Y17" s="100" t="s">
        <v>1696</v>
      </c>
      <c r="Z17" s="100" t="s">
        <v>1697</v>
      </c>
      <c r="AA17" s="100" t="s">
        <v>1700</v>
      </c>
      <c r="AB17" s="100" t="s">
        <v>1700</v>
      </c>
      <c r="AC17" s="100" t="s">
        <v>1700</v>
      </c>
      <c r="AD17" s="514" t="s">
        <v>1700</v>
      </c>
      <c r="AN17" t="s">
        <v>1811</v>
      </c>
      <c r="AU17" s="2" t="s">
        <v>1616</v>
      </c>
      <c r="AV17" s="835">
        <v>77</v>
      </c>
      <c r="AW17" s="835">
        <v>80</v>
      </c>
      <c r="AX17" s="835">
        <v>72</v>
      </c>
      <c r="AY17" s="835">
        <v>69</v>
      </c>
      <c r="AZ17" s="835">
        <f t="shared" ref="AZ17:AZ19" si="0">((AV17*BC17+AW17*(8760-BC17))/8760)</f>
        <v>77.88082191780822</v>
      </c>
      <c r="BA17" s="835">
        <f t="shared" ref="BA17:BA19" si="1">((AX17*BC17+AY17*(8760-BC17))/8760)</f>
        <v>71.11917808219178</v>
      </c>
      <c r="BB17" s="100" t="s">
        <v>1836</v>
      </c>
      <c r="BC17" s="100">
        <f>(17)*7*52</f>
        <v>6188</v>
      </c>
    </row>
    <row r="18" spans="1:57">
      <c r="A18" s="816">
        <v>2</v>
      </c>
      <c r="B18" s="817" t="s">
        <v>1618</v>
      </c>
      <c r="C18" s="817">
        <v>1279</v>
      </c>
      <c r="D18" s="817">
        <v>191</v>
      </c>
      <c r="R18" s="811" t="s">
        <v>1638</v>
      </c>
      <c r="S18" s="100"/>
      <c r="T18" s="100"/>
      <c r="U18" s="100"/>
      <c r="V18" s="100"/>
      <c r="W18" s="100"/>
      <c r="X18" s="100"/>
      <c r="Y18" s="100"/>
      <c r="Z18" s="100"/>
      <c r="AA18" s="100"/>
      <c r="AB18" s="100"/>
      <c r="AC18" s="100"/>
      <c r="AD18" s="514"/>
      <c r="AS18" s="810"/>
      <c r="AU18" s="2" t="s">
        <v>1617</v>
      </c>
      <c r="AV18" s="835">
        <v>77</v>
      </c>
      <c r="AW18" s="835">
        <v>80</v>
      </c>
      <c r="AX18" s="835">
        <v>72</v>
      </c>
      <c r="AY18" s="835">
        <v>69</v>
      </c>
      <c r="AZ18" s="835">
        <f t="shared" si="0"/>
        <v>78.130136986301366</v>
      </c>
      <c r="BA18" s="835">
        <f t="shared" si="1"/>
        <v>70.869863013698634</v>
      </c>
      <c r="BB18" s="100" t="s">
        <v>1837</v>
      </c>
      <c r="BC18" s="100">
        <f>(15)*7*52</f>
        <v>5460</v>
      </c>
    </row>
    <row r="19" spans="1:57">
      <c r="A19" s="816"/>
      <c r="B19" s="817" t="s">
        <v>1619</v>
      </c>
      <c r="C19" s="817">
        <v>704</v>
      </c>
      <c r="D19" s="817">
        <v>708</v>
      </c>
      <c r="J19" s="416" t="s">
        <v>1090</v>
      </c>
      <c r="R19" s="811" t="s">
        <v>1641</v>
      </c>
      <c r="S19" s="100"/>
      <c r="T19" s="100"/>
      <c r="U19" s="100"/>
      <c r="V19" s="100"/>
      <c r="W19" s="100"/>
      <c r="X19" s="100"/>
      <c r="Y19" s="100"/>
      <c r="Z19" s="100"/>
      <c r="AA19" s="100"/>
      <c r="AB19" s="100"/>
      <c r="AC19" s="100"/>
      <c r="AD19" s="514"/>
      <c r="AU19" s="2" t="s">
        <v>1826</v>
      </c>
      <c r="AV19" s="835">
        <v>74</v>
      </c>
      <c r="AW19" s="835">
        <v>79</v>
      </c>
      <c r="AX19" s="835">
        <v>70</v>
      </c>
      <c r="AY19" s="835">
        <v>65</v>
      </c>
      <c r="AZ19" s="835">
        <f t="shared" si="0"/>
        <v>75.675799086757991</v>
      </c>
      <c r="BA19" s="835">
        <f t="shared" si="1"/>
        <v>68.324200913242009</v>
      </c>
      <c r="BB19" s="100" t="s">
        <v>1838</v>
      </c>
      <c r="BC19" s="100">
        <f>(16)*7*52</f>
        <v>5824</v>
      </c>
    </row>
    <row r="20" spans="1:57">
      <c r="A20" s="816">
        <v>4</v>
      </c>
      <c r="B20" s="817" t="s">
        <v>1620</v>
      </c>
      <c r="C20" s="817">
        <v>1925</v>
      </c>
      <c r="D20" s="817">
        <v>2477</v>
      </c>
      <c r="J20" s="822" t="s">
        <v>832</v>
      </c>
      <c r="K20" s="822" t="s">
        <v>1149</v>
      </c>
      <c r="R20" s="811" t="s">
        <v>2008</v>
      </c>
      <c r="AD20" s="93"/>
      <c r="AU20" s="2" t="s">
        <v>1828</v>
      </c>
      <c r="AV20" s="835"/>
      <c r="AW20" s="835"/>
      <c r="AX20" s="835"/>
      <c r="AY20" s="835"/>
      <c r="AZ20" s="835">
        <f>AZ26</f>
        <v>77.885895484525633</v>
      </c>
      <c r="BA20" s="835">
        <f>BA26</f>
        <v>69.669660071029924</v>
      </c>
      <c r="BB20" s="100" t="s">
        <v>1844</v>
      </c>
      <c r="BC20" s="565" t="s">
        <v>1843</v>
      </c>
    </row>
    <row r="21" spans="1:57">
      <c r="A21" s="816">
        <v>5</v>
      </c>
      <c r="B21" s="817" t="s">
        <v>1621</v>
      </c>
      <c r="C21" s="817">
        <v>3049</v>
      </c>
      <c r="D21" s="817">
        <v>655</v>
      </c>
      <c r="J21" s="823" t="s">
        <v>885</v>
      </c>
      <c r="K21" s="823" t="s">
        <v>885</v>
      </c>
      <c r="R21" s="811" t="s">
        <v>2009</v>
      </c>
      <c r="AD21" s="825"/>
      <c r="AS21" s="810"/>
      <c r="AU21" s="2" t="s">
        <v>1621</v>
      </c>
      <c r="AV21" s="835">
        <v>76</v>
      </c>
      <c r="AW21" s="835">
        <v>81</v>
      </c>
      <c r="AX21" s="835">
        <v>72</v>
      </c>
      <c r="AY21" s="835">
        <v>67</v>
      </c>
      <c r="AZ21" s="835">
        <f>AV21*0.6+AW21*0.4</f>
        <v>78</v>
      </c>
      <c r="BA21" s="835">
        <f>AX21*0.6+AY21*0.4</f>
        <v>70</v>
      </c>
      <c r="BB21" s="100" t="s">
        <v>1839</v>
      </c>
      <c r="BC21" s="565" t="s">
        <v>1843</v>
      </c>
    </row>
    <row r="22" spans="1:57">
      <c r="A22" s="816"/>
      <c r="B22" s="817" t="s">
        <v>1622</v>
      </c>
      <c r="C22" s="817">
        <v>1756</v>
      </c>
      <c r="D22" s="817">
        <v>1643</v>
      </c>
      <c r="J22" s="432" t="s">
        <v>1088</v>
      </c>
      <c r="K22" s="432" t="s">
        <v>1154</v>
      </c>
      <c r="R22" s="811" t="s">
        <v>2010</v>
      </c>
      <c r="AD22" s="93"/>
      <c r="AU22" s="2" t="s">
        <v>1627</v>
      </c>
      <c r="AV22" s="835">
        <v>76</v>
      </c>
      <c r="AW22" s="835">
        <v>82</v>
      </c>
      <c r="AX22" s="835">
        <v>70</v>
      </c>
      <c r="AY22" s="835">
        <v>64</v>
      </c>
      <c r="AZ22" s="835">
        <f t="shared" ref="AZ22" si="2">((AV22*BC22+AW22*(8760-BC22))/8760)</f>
        <v>80.361643835616434</v>
      </c>
      <c r="BA22" s="835">
        <f t="shared" ref="BA22" si="3">((AX22*BC22+AY22*(8760-BC22))/8760)</f>
        <v>65.638356164383566</v>
      </c>
      <c r="BB22" s="100" t="s">
        <v>1840</v>
      </c>
      <c r="BC22" s="100">
        <f>(6*6*52)+(10*52)</f>
        <v>2392</v>
      </c>
    </row>
    <row r="23" spans="1:57">
      <c r="A23" s="816"/>
      <c r="B23" s="817" t="s">
        <v>1623</v>
      </c>
      <c r="C23" s="817">
        <v>1487</v>
      </c>
      <c r="D23" s="817">
        <v>1711</v>
      </c>
      <c r="J23" s="432" t="s">
        <v>1089</v>
      </c>
      <c r="K23" s="432" t="s">
        <v>1155</v>
      </c>
      <c r="R23" s="811" t="s">
        <v>1866</v>
      </c>
      <c r="AD23" s="93"/>
      <c r="AS23" s="99"/>
      <c r="AU23" s="2" t="s">
        <v>1827</v>
      </c>
      <c r="AV23" s="835">
        <v>76</v>
      </c>
      <c r="AW23" s="835">
        <v>79</v>
      </c>
      <c r="AX23" s="835">
        <v>72</v>
      </c>
      <c r="AY23" s="835">
        <v>69</v>
      </c>
      <c r="AZ23" s="835">
        <f t="shared" ref="AZ23:AZ25" si="4">((AV23*BC23+AW23*(8760-BC23))/8760)</f>
        <v>77.967123287671228</v>
      </c>
      <c r="BA23" s="835">
        <f t="shared" ref="BA23:BA25" si="5">((AX23*BC23+AY23*(8760-BC23))/8760)</f>
        <v>70.032876712328772</v>
      </c>
      <c r="BB23" s="100" t="s">
        <v>1845</v>
      </c>
      <c r="BC23" s="100">
        <f>(10*5*52)+(8*52)</f>
        <v>3016</v>
      </c>
    </row>
    <row r="24" spans="1:57">
      <c r="A24" s="816">
        <v>6</v>
      </c>
      <c r="B24" s="817" t="s">
        <v>1624</v>
      </c>
      <c r="C24" s="817">
        <v>549</v>
      </c>
      <c r="D24" s="817">
        <v>714</v>
      </c>
      <c r="J24" s="98"/>
      <c r="K24" s="98" t="s">
        <v>1089</v>
      </c>
      <c r="R24" s="811" t="s">
        <v>2011</v>
      </c>
      <c r="S24" t="s">
        <v>1701</v>
      </c>
      <c r="T24" t="s">
        <v>1701</v>
      </c>
      <c r="U24" t="s">
        <v>1701</v>
      </c>
      <c r="V24" t="s">
        <v>1701</v>
      </c>
      <c r="W24" t="s">
        <v>1701</v>
      </c>
      <c r="X24" t="s">
        <v>1701</v>
      </c>
      <c r="Y24" t="s">
        <v>1701</v>
      </c>
      <c r="Z24" t="s">
        <v>1701</v>
      </c>
      <c r="AA24" t="s">
        <v>1701</v>
      </c>
      <c r="AB24" t="s">
        <v>1702</v>
      </c>
      <c r="AC24" t="s">
        <v>1702</v>
      </c>
      <c r="AD24" s="93" t="s">
        <v>1703</v>
      </c>
      <c r="AS24" s="810"/>
      <c r="AU24" s="2" t="s">
        <v>1628</v>
      </c>
      <c r="AV24" s="835">
        <v>76</v>
      </c>
      <c r="AW24" s="835">
        <v>79</v>
      </c>
      <c r="AX24" s="835">
        <v>72</v>
      </c>
      <c r="AY24" s="835">
        <v>69</v>
      </c>
      <c r="AZ24" s="835">
        <f t="shared" si="4"/>
        <v>78.038356164383558</v>
      </c>
      <c r="BA24" s="835">
        <f t="shared" si="5"/>
        <v>69.961643835616442</v>
      </c>
      <c r="BB24" s="100" t="s">
        <v>1841</v>
      </c>
      <c r="BC24" s="100">
        <f>(9)*6*52</f>
        <v>2808</v>
      </c>
    </row>
    <row r="25" spans="1:57">
      <c r="A25" s="816"/>
      <c r="B25" s="817" t="s">
        <v>1625</v>
      </c>
      <c r="C25" s="817">
        <v>1233</v>
      </c>
      <c r="D25" s="817">
        <v>619</v>
      </c>
      <c r="R25" s="811" t="s">
        <v>2012</v>
      </c>
      <c r="S25" t="s">
        <v>1701</v>
      </c>
      <c r="T25" t="s">
        <v>1701</v>
      </c>
      <c r="U25" t="s">
        <v>1701</v>
      </c>
      <c r="V25" t="s">
        <v>1701</v>
      </c>
      <c r="W25" t="s">
        <v>1701</v>
      </c>
      <c r="X25" t="s">
        <v>1701</v>
      </c>
      <c r="Y25" t="s">
        <v>1701</v>
      </c>
      <c r="Z25" t="s">
        <v>1701</v>
      </c>
      <c r="AA25" t="s">
        <v>1701</v>
      </c>
      <c r="AB25" t="s">
        <v>1702</v>
      </c>
      <c r="AC25" t="s">
        <v>1702</v>
      </c>
      <c r="AD25" s="93" t="s">
        <v>1703</v>
      </c>
      <c r="AU25" s="2" t="s">
        <v>1629</v>
      </c>
      <c r="AV25" s="835">
        <v>76</v>
      </c>
      <c r="AW25" s="835">
        <v>79</v>
      </c>
      <c r="AX25" s="835">
        <v>72</v>
      </c>
      <c r="AY25" s="835">
        <v>69</v>
      </c>
      <c r="AZ25" s="835">
        <f t="shared" si="4"/>
        <v>77.539726027397265</v>
      </c>
      <c r="BA25" s="835">
        <f t="shared" si="5"/>
        <v>70.460273972602735</v>
      </c>
      <c r="BB25" s="100" t="s">
        <v>1842</v>
      </c>
      <c r="BC25" s="100">
        <f>(12*6*52)+(10*52)</f>
        <v>4264</v>
      </c>
      <c r="BD25" s="512"/>
      <c r="BE25" s="99"/>
    </row>
    <row r="26" spans="1:57" ht="15" thickBot="1">
      <c r="A26" s="816">
        <v>11</v>
      </c>
      <c r="B26" s="817" t="s">
        <v>1626</v>
      </c>
      <c r="C26" s="817">
        <v>394</v>
      </c>
      <c r="D26" s="817">
        <v>840</v>
      </c>
      <c r="J26" s="797"/>
      <c r="R26" s="829" t="s">
        <v>363</v>
      </c>
      <c r="S26" s="84"/>
      <c r="T26" s="84"/>
      <c r="U26" s="84"/>
      <c r="V26" s="84"/>
      <c r="W26" s="84"/>
      <c r="X26" s="84"/>
      <c r="Y26" s="84"/>
      <c r="Z26" s="84"/>
      <c r="AA26" s="84"/>
      <c r="AB26" s="84"/>
      <c r="AC26" s="84"/>
      <c r="AD26" s="94"/>
      <c r="AU26" s="837" t="s">
        <v>216</v>
      </c>
      <c r="AV26" s="838"/>
      <c r="AW26" s="838"/>
      <c r="AX26" s="838"/>
      <c r="AY26" s="838"/>
      <c r="AZ26" s="838">
        <f>AVERAGE(AZ16:AZ19,AZ21:AZ25)</f>
        <v>77.885895484525633</v>
      </c>
      <c r="BA26" s="838">
        <f>AVERAGE(BA16:BA19,BA21:BA25)</f>
        <v>69.669660071029924</v>
      </c>
      <c r="BB26" s="405"/>
      <c r="BC26" s="405"/>
    </row>
    <row r="27" spans="1:57" ht="15" thickTop="1">
      <c r="A27" s="816">
        <v>8</v>
      </c>
      <c r="B27" s="817" t="s">
        <v>1627</v>
      </c>
      <c r="C27" s="817">
        <v>279</v>
      </c>
      <c r="D27" s="817">
        <v>722</v>
      </c>
      <c r="J27" s="237" t="s">
        <v>834</v>
      </c>
      <c r="AU27" s="839" t="str">
        <f>IF(B34="","",B34)</f>
        <v/>
      </c>
      <c r="AV27" s="840">
        <f t="shared" ref="AV27:BA27" si="6">IF($AU$27="",0,_xlfn.IFNA(INDEX(AV16:AV26,MATCH(AU27,AU16:AU26,0)),AV26))</f>
        <v>0</v>
      </c>
      <c r="AW27" s="840">
        <f t="shared" si="6"/>
        <v>0</v>
      </c>
      <c r="AX27" s="840">
        <f t="shared" si="6"/>
        <v>0</v>
      </c>
      <c r="AY27" s="840">
        <f t="shared" si="6"/>
        <v>0</v>
      </c>
      <c r="AZ27" s="840">
        <f t="shared" si="6"/>
        <v>0</v>
      </c>
      <c r="BA27" s="840">
        <f t="shared" si="6"/>
        <v>0</v>
      </c>
      <c r="BB27" s="405"/>
      <c r="BC27" s="405"/>
    </row>
    <row r="28" spans="1:57">
      <c r="A28" s="816">
        <v>7</v>
      </c>
      <c r="B28" s="817" t="s">
        <v>1628</v>
      </c>
      <c r="C28" s="817">
        <v>955</v>
      </c>
      <c r="D28" s="817">
        <v>431</v>
      </c>
      <c r="J28" s="96" t="s">
        <v>833</v>
      </c>
      <c r="R28" s="814" t="s">
        <v>1653</v>
      </c>
      <c r="S28" s="814" t="s">
        <v>13</v>
      </c>
      <c r="T28" s="814" t="s">
        <v>12</v>
      </c>
      <c r="U28" s="814" t="s">
        <v>14</v>
      </c>
      <c r="V28" s="814" t="s">
        <v>1665</v>
      </c>
      <c r="W28" s="814" t="s">
        <v>1754</v>
      </c>
      <c r="X28" s="814" t="s">
        <v>1725</v>
      </c>
    </row>
    <row r="29" spans="1:57">
      <c r="A29" s="816">
        <v>10</v>
      </c>
      <c r="B29" s="817" t="s">
        <v>1629</v>
      </c>
      <c r="C29" s="817">
        <v>882</v>
      </c>
      <c r="D29" s="817">
        <v>545</v>
      </c>
      <c r="J29" s="97" t="s">
        <v>832</v>
      </c>
      <c r="R29" s="811" t="s">
        <v>1704</v>
      </c>
      <c r="S29" s="97">
        <f>1.12*T29-0.02*T29^2</f>
        <v>11.180000000000003</v>
      </c>
      <c r="T29" s="831">
        <v>13</v>
      </c>
      <c r="U29" s="97"/>
      <c r="V29" s="97"/>
      <c r="W29" s="97">
        <v>1.1961999999999999</v>
      </c>
      <c r="X29" s="97" t="b">
        <v>0</v>
      </c>
      <c r="AU29" s="398" t="s">
        <v>43</v>
      </c>
      <c r="AV29" s="398" t="s">
        <v>15</v>
      </c>
      <c r="AW29" s="398" t="s">
        <v>16</v>
      </c>
    </row>
    <row r="30" spans="1:57">
      <c r="A30" s="816"/>
      <c r="B30" s="817" t="s">
        <v>1630</v>
      </c>
      <c r="C30" s="817">
        <v>1057</v>
      </c>
      <c r="D30" s="817">
        <v>1011</v>
      </c>
      <c r="J30" s="97" t="s">
        <v>1149</v>
      </c>
      <c r="R30" s="811" t="s">
        <v>1705</v>
      </c>
      <c r="S30" s="97">
        <f>1.12*T30-0.02*T30^2</f>
        <v>11.760000000000002</v>
      </c>
      <c r="T30" s="831">
        <v>14</v>
      </c>
      <c r="U30" s="97"/>
      <c r="V30" s="97"/>
      <c r="W30" s="97">
        <v>1.1961999999999999</v>
      </c>
      <c r="X30" s="97" t="b">
        <v>0</v>
      </c>
      <c r="AU30" t="s">
        <v>885</v>
      </c>
      <c r="AV30" s="397" t="s">
        <v>795</v>
      </c>
      <c r="AW30" s="810"/>
      <c r="BC30" t="s">
        <v>885</v>
      </c>
    </row>
    <row r="31" spans="1:57">
      <c r="A31" s="816">
        <v>12</v>
      </c>
      <c r="B31" s="817" t="s">
        <v>1631</v>
      </c>
      <c r="C31" s="817">
        <v>400</v>
      </c>
      <c r="D31" s="817">
        <v>452</v>
      </c>
      <c r="J31" s="97" t="s">
        <v>1049</v>
      </c>
      <c r="R31" s="811" t="s">
        <v>1706</v>
      </c>
      <c r="S31" s="97">
        <v>11.2</v>
      </c>
      <c r="T31" s="97">
        <v>12.7</v>
      </c>
      <c r="U31" s="97"/>
      <c r="V31" s="97"/>
      <c r="W31" s="97">
        <v>1.1961999999999999</v>
      </c>
      <c r="X31" s="97" t="b">
        <v>0</v>
      </c>
      <c r="AU31" s="810" t="s">
        <v>15</v>
      </c>
      <c r="AV31" t="s">
        <v>1144</v>
      </c>
      <c r="AW31" s="810"/>
      <c r="BC31">
        <v>1</v>
      </c>
    </row>
    <row r="32" spans="1:57">
      <c r="A32" s="816">
        <v>13</v>
      </c>
      <c r="B32" s="817" t="s">
        <v>216</v>
      </c>
      <c r="C32" s="817">
        <v>736</v>
      </c>
      <c r="D32" s="817">
        <v>681</v>
      </c>
      <c r="J32" s="98"/>
      <c r="K32" s="99"/>
      <c r="R32" s="811" t="s">
        <v>2211</v>
      </c>
      <c r="S32" s="97">
        <v>11.2</v>
      </c>
      <c r="T32" s="97">
        <v>12.7</v>
      </c>
      <c r="U32" s="97"/>
      <c r="V32" s="97"/>
      <c r="W32" s="97">
        <v>1.1961999999999999</v>
      </c>
      <c r="X32" s="97" t="b">
        <v>0</v>
      </c>
      <c r="AU32" s="810" t="s">
        <v>16</v>
      </c>
      <c r="AV32" t="s">
        <v>1145</v>
      </c>
      <c r="BC32">
        <f t="shared" ref="BC32:BC40" si="7">BC31+1</f>
        <v>2</v>
      </c>
    </row>
    <row r="33" spans="1:55">
      <c r="A33" s="817"/>
      <c r="B33" s="832"/>
      <c r="C33" s="832"/>
      <c r="D33" s="832"/>
      <c r="R33" s="811" t="s">
        <v>1707</v>
      </c>
      <c r="S33" s="97">
        <v>10.8</v>
      </c>
      <c r="T33" s="97">
        <v>12.2</v>
      </c>
      <c r="U33" s="97"/>
      <c r="V33" s="97"/>
      <c r="W33" s="97">
        <v>1.1961999999999999</v>
      </c>
      <c r="X33" s="97" t="b">
        <v>0</v>
      </c>
      <c r="AU33" t="s">
        <v>984</v>
      </c>
      <c r="BC33">
        <f t="shared" si="7"/>
        <v>3</v>
      </c>
    </row>
    <row r="34" spans="1:55">
      <c r="A34" s="93">
        <v>1</v>
      </c>
      <c r="B34" s="2" t="str">
        <f>IF(OR('Customer Information'!C17="",'Customer Information'!C17=B11),"",'Customer Information'!C17)</f>
        <v/>
      </c>
      <c r="C34" s="2" t="e">
        <f>INDEX(C$11:C$33,MATCH($B$34,$B$11:$B$33,0))</f>
        <v>#N/A</v>
      </c>
      <c r="D34" s="2" t="e">
        <f>INDEX(D$11:D$33,MATCH($B$34,$B$11:$B$33,0))</f>
        <v>#N/A</v>
      </c>
      <c r="I34" s="84"/>
      <c r="J34" s="84"/>
      <c r="K34" s="84"/>
      <c r="L34" s="84"/>
      <c r="M34" s="84"/>
      <c r="N34" s="84"/>
      <c r="O34" s="84"/>
      <c r="R34" s="811" t="s">
        <v>2308</v>
      </c>
      <c r="S34" s="97">
        <v>10.8</v>
      </c>
      <c r="T34" s="97">
        <v>12.2</v>
      </c>
      <c r="U34" s="97"/>
      <c r="V34" s="97"/>
      <c r="W34" s="97">
        <v>1.1961999999999999</v>
      </c>
      <c r="X34" s="97" t="b">
        <v>0</v>
      </c>
      <c r="BC34">
        <f t="shared" si="7"/>
        <v>4</v>
      </c>
    </row>
    <row r="35" spans="1:55" ht="15" thickBot="1">
      <c r="R35" s="811" t="s">
        <v>1708</v>
      </c>
      <c r="S35" s="97">
        <v>9.8000000000000007</v>
      </c>
      <c r="T35" s="97">
        <v>11.4</v>
      </c>
      <c r="U35" s="97"/>
      <c r="V35" s="97"/>
      <c r="W35" s="97">
        <v>1.1961999999999999</v>
      </c>
      <c r="X35" s="97" t="b">
        <v>0</v>
      </c>
      <c r="BC35">
        <f t="shared" si="7"/>
        <v>5</v>
      </c>
    </row>
    <row r="36" spans="1:55">
      <c r="J36" s="908"/>
      <c r="R36" s="811" t="s">
        <v>2309</v>
      </c>
      <c r="S36" s="97">
        <v>9.8000000000000007</v>
      </c>
      <c r="T36" s="97">
        <v>11.4</v>
      </c>
      <c r="U36" s="97"/>
      <c r="V36" s="97"/>
      <c r="W36" s="97">
        <v>1.1961999999999999</v>
      </c>
      <c r="X36" s="97" t="b">
        <v>0</v>
      </c>
      <c r="BC36">
        <f t="shared" si="7"/>
        <v>6</v>
      </c>
    </row>
    <row r="37" spans="1:55">
      <c r="J37" s="909"/>
      <c r="R37" s="811" t="s">
        <v>1709</v>
      </c>
      <c r="S37" s="97">
        <v>9.5</v>
      </c>
      <c r="T37" s="831">
        <v>11</v>
      </c>
      <c r="U37" s="97"/>
      <c r="V37" s="97"/>
      <c r="W37" s="97">
        <v>1.1961999999999999</v>
      </c>
      <c r="X37" s="97" t="b">
        <v>0</v>
      </c>
      <c r="BC37">
        <f t="shared" si="7"/>
        <v>7</v>
      </c>
    </row>
    <row r="38" spans="1:55">
      <c r="A38" s="1321" t="s">
        <v>2625</v>
      </c>
      <c r="B38" s="1321"/>
      <c r="C38" s="1321"/>
      <c r="J38" s="909"/>
      <c r="R38" s="811" t="s">
        <v>1710</v>
      </c>
      <c r="S38" s="97">
        <v>9.5</v>
      </c>
      <c r="T38" s="831">
        <v>11</v>
      </c>
      <c r="U38" s="97"/>
      <c r="V38" s="97"/>
      <c r="W38" s="97">
        <v>1.1961999999999999</v>
      </c>
      <c r="X38" s="97" t="b">
        <v>0</v>
      </c>
      <c r="BC38">
        <f t="shared" si="7"/>
        <v>8</v>
      </c>
    </row>
    <row r="39" spans="1:55">
      <c r="A39" s="1005" t="s">
        <v>1608</v>
      </c>
      <c r="B39" s="1006" t="s">
        <v>2626</v>
      </c>
      <c r="C39" s="1006" t="s">
        <v>2627</v>
      </c>
      <c r="J39" s="909"/>
      <c r="R39" s="824" t="s">
        <v>1648</v>
      </c>
      <c r="S39" s="97">
        <v>12.1</v>
      </c>
      <c r="T39" s="97">
        <v>12.3</v>
      </c>
      <c r="U39" s="97"/>
      <c r="V39" s="97"/>
      <c r="W39" s="97">
        <v>1.1961999999999999</v>
      </c>
      <c r="X39" s="97" t="b">
        <v>0</v>
      </c>
      <c r="AW39" s="237" t="s">
        <v>841</v>
      </c>
      <c r="AX39" s="237" t="s">
        <v>840</v>
      </c>
      <c r="AY39" s="237" t="s">
        <v>839</v>
      </c>
      <c r="AZ39" s="237" t="s">
        <v>838</v>
      </c>
      <c r="BA39" s="237" t="s">
        <v>1239</v>
      </c>
      <c r="BC39">
        <f t="shared" si="7"/>
        <v>9</v>
      </c>
    </row>
    <row r="40" spans="1:55">
      <c r="A40" s="1007" t="s">
        <v>1612</v>
      </c>
      <c r="B40" s="1008">
        <v>669</v>
      </c>
      <c r="C40" s="1009">
        <v>603</v>
      </c>
      <c r="J40" s="909"/>
      <c r="R40" s="824" t="s">
        <v>1650</v>
      </c>
      <c r="S40" s="97">
        <v>11.9</v>
      </c>
      <c r="T40" s="97">
        <v>13.7</v>
      </c>
      <c r="U40" s="97"/>
      <c r="V40" s="97"/>
      <c r="W40" s="97">
        <v>1.1961999999999999</v>
      </c>
      <c r="X40" s="97" t="b">
        <v>0</v>
      </c>
      <c r="AV40" s="99"/>
      <c r="AW40" s="820"/>
      <c r="AX40" s="8"/>
      <c r="AY40" s="8"/>
      <c r="AZ40" s="8"/>
      <c r="BA40" s="821" t="s">
        <v>837</v>
      </c>
      <c r="BC40">
        <f t="shared" si="7"/>
        <v>10</v>
      </c>
    </row>
    <row r="41" spans="1:55">
      <c r="A41" s="1007" t="s">
        <v>1613</v>
      </c>
      <c r="B41" s="1008">
        <v>426</v>
      </c>
      <c r="C41" s="1009">
        <v>1910</v>
      </c>
      <c r="J41" s="909"/>
      <c r="R41" s="824" t="s">
        <v>1649</v>
      </c>
      <c r="S41" s="97">
        <v>12.3</v>
      </c>
      <c r="T41" s="97">
        <v>13.7</v>
      </c>
      <c r="U41" s="97"/>
      <c r="V41" s="97"/>
      <c r="W41" s="97">
        <v>1.1961999999999999</v>
      </c>
      <c r="X41" s="97" t="b">
        <v>0</v>
      </c>
      <c r="AV41" s="99"/>
      <c r="AW41" s="805"/>
      <c r="BA41" s="93"/>
    </row>
    <row r="42" spans="1:55">
      <c r="A42" s="1010" t="s">
        <v>1614</v>
      </c>
      <c r="B42" s="1008">
        <v>1279</v>
      </c>
      <c r="C42" s="1009">
        <v>191</v>
      </c>
      <c r="J42" s="909"/>
      <c r="R42" s="824" t="s">
        <v>1651</v>
      </c>
      <c r="S42" s="97">
        <v>12.2</v>
      </c>
      <c r="T42" s="97">
        <v>13.4</v>
      </c>
      <c r="U42" s="97"/>
      <c r="V42" s="97"/>
      <c r="W42" s="97">
        <v>1.1961999999999999</v>
      </c>
      <c r="X42" s="97" t="b">
        <v>0</v>
      </c>
      <c r="AV42" s="99"/>
      <c r="AW42" s="805"/>
      <c r="BA42" s="93"/>
    </row>
    <row r="43" spans="1:55" ht="29">
      <c r="A43" s="1010" t="s">
        <v>1616</v>
      </c>
      <c r="B43" s="1008">
        <v>645</v>
      </c>
      <c r="C43" s="1009">
        <v>813</v>
      </c>
      <c r="J43" s="909"/>
      <c r="R43" s="824" t="s">
        <v>1652</v>
      </c>
      <c r="S43" s="831">
        <v>12</v>
      </c>
      <c r="T43" s="97">
        <v>13.3</v>
      </c>
      <c r="U43" s="97"/>
      <c r="V43" s="97"/>
      <c r="W43" s="97">
        <v>1.1961999999999999</v>
      </c>
      <c r="X43" s="97" t="b">
        <v>0</v>
      </c>
      <c r="AV43" s="99"/>
      <c r="AW43" s="805"/>
      <c r="BA43" s="93"/>
    </row>
    <row r="44" spans="1:55" ht="29">
      <c r="A44" s="1007" t="s">
        <v>1617</v>
      </c>
      <c r="B44" s="1008">
        <v>574</v>
      </c>
      <c r="C44" s="1009">
        <v>821</v>
      </c>
      <c r="J44" s="909"/>
      <c r="R44" s="824" t="s">
        <v>1654</v>
      </c>
      <c r="S44" s="97">
        <v>12.1</v>
      </c>
      <c r="T44" s="97">
        <v>12.3</v>
      </c>
      <c r="U44" s="97"/>
      <c r="V44" s="97"/>
      <c r="W44" s="97">
        <v>1.1961999999999999</v>
      </c>
      <c r="X44" s="97" t="b">
        <v>0</v>
      </c>
      <c r="AV44" s="99"/>
      <c r="AW44" s="805"/>
      <c r="BA44" s="93"/>
    </row>
    <row r="45" spans="1:55">
      <c r="A45" s="1010" t="s">
        <v>1826</v>
      </c>
      <c r="B45" s="1008">
        <v>1279</v>
      </c>
      <c r="C45" s="1009">
        <v>191</v>
      </c>
      <c r="J45" s="909"/>
      <c r="R45" s="824" t="s">
        <v>1655</v>
      </c>
      <c r="S45" s="97">
        <v>11.9</v>
      </c>
      <c r="T45" s="97">
        <v>12.1</v>
      </c>
      <c r="U45" s="97"/>
      <c r="V45" s="97"/>
      <c r="W45" s="97">
        <v>1.1961999999999999</v>
      </c>
      <c r="X45" s="97" t="b">
        <v>0</v>
      </c>
      <c r="AV45" s="99"/>
      <c r="AW45" s="805"/>
      <c r="BA45" s="93"/>
    </row>
    <row r="46" spans="1:55">
      <c r="A46" s="1007" t="s">
        <v>1624</v>
      </c>
      <c r="B46" s="1008">
        <v>549</v>
      </c>
      <c r="C46" s="1009">
        <v>714</v>
      </c>
      <c r="J46" s="909"/>
      <c r="R46" s="824" t="s">
        <v>1656</v>
      </c>
      <c r="S46" s="97">
        <v>11.8</v>
      </c>
      <c r="T46" s="831">
        <v>12</v>
      </c>
      <c r="U46" s="97"/>
      <c r="V46" s="97"/>
      <c r="W46" s="97">
        <v>1.1961999999999999</v>
      </c>
      <c r="X46" s="97" t="b">
        <v>0</v>
      </c>
      <c r="AV46" s="99"/>
      <c r="AW46" s="805"/>
      <c r="BA46" s="93"/>
    </row>
    <row r="47" spans="1:55" ht="15" thickBot="1">
      <c r="A47" s="1010" t="s">
        <v>1625</v>
      </c>
      <c r="B47" s="1008">
        <v>1233</v>
      </c>
      <c r="C47" s="1009">
        <v>619</v>
      </c>
      <c r="J47" s="910"/>
      <c r="R47" s="824" t="s">
        <v>1657</v>
      </c>
      <c r="S47" s="97">
        <v>11.7</v>
      </c>
      <c r="T47" s="97">
        <v>11.9</v>
      </c>
      <c r="U47" s="97"/>
      <c r="V47" s="97"/>
      <c r="W47" s="97">
        <v>1.1961999999999999</v>
      </c>
      <c r="X47" s="97" t="b">
        <v>0</v>
      </c>
      <c r="AV47" s="238"/>
      <c r="AW47" s="805"/>
      <c r="BA47" s="93" t="s">
        <v>836</v>
      </c>
      <c r="BC47">
        <f>BC40+1</f>
        <v>11</v>
      </c>
    </row>
    <row r="48" spans="1:55">
      <c r="A48" s="1007" t="s">
        <v>1626</v>
      </c>
      <c r="B48" s="1008">
        <v>394</v>
      </c>
      <c r="C48" s="1009">
        <v>840</v>
      </c>
      <c r="R48" s="824" t="s">
        <v>1658</v>
      </c>
      <c r="S48" s="97">
        <v>11.5</v>
      </c>
      <c r="T48" s="97">
        <v>11.7</v>
      </c>
      <c r="U48" s="97"/>
      <c r="V48" s="97"/>
      <c r="W48" s="97">
        <v>1.1961999999999999</v>
      </c>
      <c r="X48" s="97" t="b">
        <v>0</v>
      </c>
      <c r="AS48" s="841"/>
      <c r="AU48" s="238"/>
      <c r="AV48" s="238"/>
      <c r="AW48" s="827"/>
      <c r="AX48" s="84"/>
      <c r="AY48" s="84"/>
      <c r="AZ48" s="84"/>
      <c r="BA48" s="94" t="s">
        <v>835</v>
      </c>
      <c r="BC48">
        <f>BC47+1</f>
        <v>12</v>
      </c>
    </row>
    <row r="49" spans="1:55">
      <c r="A49" s="1010" t="s">
        <v>2628</v>
      </c>
      <c r="B49" s="1008">
        <v>279</v>
      </c>
      <c r="C49" s="1009">
        <v>722</v>
      </c>
      <c r="R49" s="824" t="s">
        <v>1661</v>
      </c>
      <c r="S49" s="97">
        <f>1.12*T49-0.02*T49^2</f>
        <v>11.760000000000002</v>
      </c>
      <c r="T49" s="831">
        <v>14</v>
      </c>
      <c r="U49" s="97">
        <v>8.1999999999999993</v>
      </c>
      <c r="V49" s="97">
        <f>U49/3.412</f>
        <v>2.4032825322391558</v>
      </c>
      <c r="W49" s="97">
        <v>1.1961999999999999</v>
      </c>
      <c r="X49" s="97" t="b">
        <v>0</v>
      </c>
      <c r="AS49" s="841"/>
      <c r="AT49" s="99"/>
      <c r="AU49" t="s">
        <v>842</v>
      </c>
      <c r="AV49" s="828"/>
      <c r="BC49">
        <f>BC48+1</f>
        <v>13</v>
      </c>
    </row>
    <row r="50" spans="1:55">
      <c r="A50" s="1007" t="s">
        <v>1628</v>
      </c>
      <c r="B50" s="1008">
        <v>955</v>
      </c>
      <c r="C50" s="1009">
        <v>431</v>
      </c>
      <c r="R50" s="824" t="s">
        <v>1663</v>
      </c>
      <c r="S50" s="97">
        <v>10.8</v>
      </c>
      <c r="T50" s="831">
        <v>12</v>
      </c>
      <c r="U50" s="97">
        <f>V50*3.412</f>
        <v>11.259599999999999</v>
      </c>
      <c r="V50" s="97">
        <v>3.3</v>
      </c>
      <c r="W50" s="97">
        <v>1.1961999999999999</v>
      </c>
      <c r="X50" s="97" t="b">
        <v>0</v>
      </c>
      <c r="BC50">
        <f>BC49+1</f>
        <v>14</v>
      </c>
    </row>
    <row r="51" spans="1:55">
      <c r="A51" s="1010" t="s">
        <v>1629</v>
      </c>
      <c r="B51" s="1008">
        <v>882</v>
      </c>
      <c r="C51" s="1009">
        <v>545</v>
      </c>
      <c r="R51" s="824" t="s">
        <v>1662</v>
      </c>
      <c r="S51" s="97">
        <v>10.4</v>
      </c>
      <c r="T51" s="97">
        <v>11.4</v>
      </c>
      <c r="U51" s="97">
        <f t="shared" ref="U51:U52" si="8">V51*3.412</f>
        <v>10.9184</v>
      </c>
      <c r="V51" s="97">
        <v>3.2</v>
      </c>
      <c r="W51" s="97">
        <v>1.1961999999999999</v>
      </c>
      <c r="X51" s="97" t="b">
        <v>0</v>
      </c>
      <c r="AU51" s="399" t="s">
        <v>853</v>
      </c>
      <c r="AV51" s="100"/>
      <c r="AW51" s="830" t="s">
        <v>859</v>
      </c>
      <c r="AY51" s="399" t="s">
        <v>854</v>
      </c>
      <c r="BA51" s="830" t="s">
        <v>863</v>
      </c>
      <c r="BC51">
        <f>BC50+1</f>
        <v>15</v>
      </c>
    </row>
    <row r="52" spans="1:55">
      <c r="A52" s="1007" t="s">
        <v>1631</v>
      </c>
      <c r="B52" s="1008">
        <v>400</v>
      </c>
      <c r="C52" s="1009">
        <v>452</v>
      </c>
      <c r="R52" s="824" t="s">
        <v>1664</v>
      </c>
      <c r="S52" s="97">
        <v>9.3000000000000007</v>
      </c>
      <c r="T52" s="97">
        <v>10.4</v>
      </c>
      <c r="U52" s="97">
        <f t="shared" si="8"/>
        <v>10.9184</v>
      </c>
      <c r="V52" s="97">
        <v>3.2</v>
      </c>
      <c r="W52" s="97">
        <v>1.1961999999999999</v>
      </c>
      <c r="X52" s="97" t="b">
        <v>0</v>
      </c>
      <c r="AU52" s="96" t="s">
        <v>408</v>
      </c>
      <c r="AV52" s="100"/>
      <c r="AW52" s="96" t="s">
        <v>858</v>
      </c>
      <c r="AY52" s="96" t="s">
        <v>207</v>
      </c>
      <c r="BA52" s="97" t="s">
        <v>862</v>
      </c>
    </row>
    <row r="53" spans="1:55">
      <c r="A53" s="1010" t="s">
        <v>216</v>
      </c>
      <c r="B53" s="1008">
        <v>736</v>
      </c>
      <c r="C53" s="1009">
        <v>681</v>
      </c>
      <c r="R53" s="824" t="s">
        <v>1682</v>
      </c>
      <c r="S53" s="97">
        <f>1.12*T53-0.02*T53^2</f>
        <v>11.180000000000003</v>
      </c>
      <c r="T53" s="831">
        <v>13</v>
      </c>
      <c r="U53" s="97"/>
      <c r="V53" s="97"/>
      <c r="W53" s="97">
        <v>1.1961999999999999</v>
      </c>
      <c r="X53" s="97" t="b">
        <v>0</v>
      </c>
      <c r="AU53" s="97" t="s">
        <v>478</v>
      </c>
      <c r="AV53" s="100"/>
      <c r="AW53" s="97" t="s">
        <v>857</v>
      </c>
      <c r="AY53" s="97" t="s">
        <v>206</v>
      </c>
      <c r="BA53" s="97" t="s">
        <v>861</v>
      </c>
    </row>
    <row r="54" spans="1:55">
      <c r="R54" s="824" t="s">
        <v>1683</v>
      </c>
      <c r="S54" s="97">
        <f>1.12*T54-0.02*T54^2</f>
        <v>11.760000000000002</v>
      </c>
      <c r="T54" s="831">
        <v>14</v>
      </c>
      <c r="U54" s="97">
        <v>8.1999999999999993</v>
      </c>
      <c r="V54" s="97">
        <f>U54/3.412</f>
        <v>2.4032825322391558</v>
      </c>
      <c r="W54" s="97">
        <v>1.1961999999999999</v>
      </c>
      <c r="X54" s="97" t="b">
        <v>0</v>
      </c>
      <c r="AU54" s="97" t="s">
        <v>852</v>
      </c>
      <c r="AV54" s="100"/>
      <c r="AW54" s="97" t="s">
        <v>856</v>
      </c>
      <c r="AY54" s="97" t="s">
        <v>209</v>
      </c>
      <c r="BA54" s="98" t="s">
        <v>860</v>
      </c>
    </row>
    <row r="55" spans="1:55">
      <c r="R55" s="811" t="s">
        <v>2310</v>
      </c>
      <c r="S55" s="831">
        <f>14-(0.3*(IF(Worksheet!$J$13=R55,Qualifying_Index!C93,0)+IF(Worksheet!$J$26=R55,Qualifying_Index!C94,0))/1000)</f>
        <v>14</v>
      </c>
      <c r="T55" s="831">
        <f>S55</f>
        <v>14</v>
      </c>
      <c r="U55" s="97"/>
      <c r="V55" s="97"/>
      <c r="W55" s="97">
        <v>1.1961999999999999</v>
      </c>
      <c r="X55" s="97" t="b">
        <v>0</v>
      </c>
      <c r="Z55" s="95" t="s">
        <v>2141</v>
      </c>
      <c r="AU55" s="97" t="s">
        <v>851</v>
      </c>
      <c r="AV55" s="100"/>
      <c r="AW55" s="98" t="s">
        <v>855</v>
      </c>
      <c r="AY55" s="97" t="s">
        <v>208</v>
      </c>
    </row>
    <row r="56" spans="1:55">
      <c r="R56" s="811" t="s">
        <v>2013</v>
      </c>
      <c r="S56" s="831">
        <f>14-(0.3*(IF(Worksheet!$J$13=R56,Qualifying_Index!C93,0)+IF(Worksheet!$J$26=R56,Qualifying_Index!C94,0))/1000)</f>
        <v>14</v>
      </c>
      <c r="T56" s="831">
        <f>S56</f>
        <v>14</v>
      </c>
      <c r="U56" s="97">
        <f>V56*3.412</f>
        <v>12.6244</v>
      </c>
      <c r="V56" s="97">
        <f>3.7-(0.052*(IF(Worksheet!D13=R56,Qualifying_Index!J93,0)+IF(Worksheet!D26=R56,Qualifying_Index!J94,0))/1000)</f>
        <v>3.7</v>
      </c>
      <c r="W56" s="97">
        <v>1.1961999999999999</v>
      </c>
      <c r="X56" s="97" t="b">
        <v>0</v>
      </c>
      <c r="Z56" s="844">
        <v>0.7</v>
      </c>
      <c r="AU56" s="98" t="s">
        <v>850</v>
      </c>
      <c r="AV56" s="100"/>
      <c r="AY56" s="98" t="s">
        <v>216</v>
      </c>
    </row>
    <row r="57" spans="1:55">
      <c r="R57" s="811" t="s">
        <v>2311</v>
      </c>
      <c r="S57" s="846">
        <f>1.12*T57-0.02*T57^2</f>
        <v>8.9822000000000006</v>
      </c>
      <c r="T57" s="97">
        <v>9.6999999999999993</v>
      </c>
      <c r="U57" s="97"/>
      <c r="V57" s="97"/>
      <c r="W57" s="97">
        <v>1.1961999999999999</v>
      </c>
      <c r="X57" s="97" t="b">
        <v>0</v>
      </c>
      <c r="AU57" s="100"/>
      <c r="AV57" s="100"/>
    </row>
    <row r="58" spans="1:55">
      <c r="R58" s="811" t="s">
        <v>2312</v>
      </c>
      <c r="S58" s="846">
        <f t="shared" ref="S58:S62" si="9">1.12*T58-0.02*T58^2</f>
        <v>8.9822000000000006</v>
      </c>
      <c r="T58" s="97">
        <v>9.6999999999999993</v>
      </c>
      <c r="U58" s="97"/>
      <c r="V58" s="97"/>
      <c r="W58" s="97">
        <v>1.1961999999999999</v>
      </c>
      <c r="X58" s="97" t="b">
        <v>0</v>
      </c>
      <c r="AU58" s="400" t="s">
        <v>818</v>
      </c>
      <c r="AV58" s="100"/>
      <c r="AW58" s="399" t="s">
        <v>925</v>
      </c>
      <c r="AY58" s="1293" t="s">
        <v>841</v>
      </c>
      <c r="AZ58" s="1294"/>
      <c r="BB58" s="403" t="s">
        <v>912</v>
      </c>
      <c r="BC58" s="833"/>
    </row>
    <row r="59" spans="1:55">
      <c r="R59" s="811" t="s">
        <v>2313</v>
      </c>
      <c r="S59" s="846">
        <f t="shared" si="9"/>
        <v>9.0552000000000028</v>
      </c>
      <c r="T59" s="97">
        <v>9.8000000000000007</v>
      </c>
      <c r="U59" s="97"/>
      <c r="V59" s="97"/>
      <c r="W59" s="97">
        <v>1.1961999999999999</v>
      </c>
      <c r="X59" s="97" t="b">
        <v>0</v>
      </c>
      <c r="AU59" s="96" t="s">
        <v>209</v>
      </c>
      <c r="AV59" s="100"/>
      <c r="AW59" s="96" t="s">
        <v>885</v>
      </c>
      <c r="AY59" s="820" t="s">
        <v>885</v>
      </c>
      <c r="AZ59" s="821" t="s">
        <v>886</v>
      </c>
      <c r="BB59" s="805" t="s">
        <v>885</v>
      </c>
      <c r="BC59" s="93" t="s">
        <v>886</v>
      </c>
    </row>
    <row r="60" spans="1:55">
      <c r="R60" s="811" t="s">
        <v>2314</v>
      </c>
      <c r="S60" s="846">
        <f t="shared" si="9"/>
        <v>8.9822000000000006</v>
      </c>
      <c r="T60" s="97">
        <v>9.6999999999999993</v>
      </c>
      <c r="U60" s="97"/>
      <c r="V60" s="97"/>
      <c r="W60" s="97">
        <v>1.1961999999999999</v>
      </c>
      <c r="X60" s="97" t="b">
        <v>0</v>
      </c>
      <c r="AU60" s="97" t="s">
        <v>866</v>
      </c>
      <c r="AV60" s="100"/>
      <c r="AW60" s="97" t="s">
        <v>926</v>
      </c>
      <c r="AY60" s="805" t="s">
        <v>887</v>
      </c>
      <c r="AZ60" s="93" t="s">
        <v>888</v>
      </c>
      <c r="BB60" s="805" t="s">
        <v>913</v>
      </c>
      <c r="BC60" s="93" t="s">
        <v>914</v>
      </c>
    </row>
    <row r="61" spans="1:55">
      <c r="R61" s="811" t="s">
        <v>2315</v>
      </c>
      <c r="S61" s="846">
        <f t="shared" si="9"/>
        <v>8.0750000000000011</v>
      </c>
      <c r="T61" s="97">
        <v>8.5</v>
      </c>
      <c r="U61" s="97"/>
      <c r="V61" s="97"/>
      <c r="W61" s="97">
        <v>1.1961999999999999</v>
      </c>
      <c r="X61" s="97" t="b">
        <v>0</v>
      </c>
      <c r="AU61" s="97" t="s">
        <v>865</v>
      </c>
      <c r="AV61" s="100"/>
      <c r="AW61" s="97" t="s">
        <v>927</v>
      </c>
      <c r="AY61" s="805" t="s">
        <v>889</v>
      </c>
      <c r="AZ61" s="93" t="s">
        <v>890</v>
      </c>
      <c r="BB61" s="805" t="s">
        <v>915</v>
      </c>
      <c r="BC61" s="93" t="s">
        <v>890</v>
      </c>
    </row>
    <row r="62" spans="1:55" ht="15" thickBot="1">
      <c r="R62" s="811" t="s">
        <v>2014</v>
      </c>
      <c r="S62" s="846">
        <f t="shared" si="9"/>
        <v>11.180000000000003</v>
      </c>
      <c r="T62" s="846">
        <v>13</v>
      </c>
      <c r="U62" s="97">
        <v>7.7</v>
      </c>
      <c r="V62" s="97">
        <f>U62/3.412</f>
        <v>2.2567409144196953</v>
      </c>
      <c r="W62" s="97">
        <v>1.1961999999999999</v>
      </c>
      <c r="X62" s="97" t="b">
        <v>0</v>
      </c>
      <c r="AU62" s="98" t="s">
        <v>864</v>
      </c>
      <c r="AV62" s="100"/>
      <c r="AW62" s="98" t="s">
        <v>928</v>
      </c>
      <c r="AY62" s="805" t="s">
        <v>891</v>
      </c>
      <c r="AZ62" s="93" t="s">
        <v>892</v>
      </c>
      <c r="BB62" s="805" t="s">
        <v>916</v>
      </c>
      <c r="BC62" s="93" t="s">
        <v>917</v>
      </c>
    </row>
    <row r="63" spans="1:55">
      <c r="R63" s="811" t="s">
        <v>2015</v>
      </c>
      <c r="S63" s="831">
        <v>11</v>
      </c>
      <c r="T63" s="846">
        <v>14.6</v>
      </c>
      <c r="U63" s="97">
        <f>V63*3.412</f>
        <v>11.259599999999999</v>
      </c>
      <c r="V63" s="97">
        <v>3.3</v>
      </c>
      <c r="W63" s="97">
        <v>1.1961999999999999</v>
      </c>
      <c r="X63" s="97" t="b">
        <v>0</v>
      </c>
      <c r="AN63" s="911"/>
      <c r="AO63" s="912" t="s">
        <v>1867</v>
      </c>
      <c r="AP63" s="912" t="s">
        <v>1868</v>
      </c>
      <c r="AQ63" s="912" t="s">
        <v>1869</v>
      </c>
      <c r="AR63" s="912" t="s">
        <v>1870</v>
      </c>
      <c r="AS63" s="913" t="s">
        <v>1871</v>
      </c>
      <c r="AU63" s="100"/>
      <c r="AV63" s="100"/>
      <c r="AY63" s="805" t="s">
        <v>893</v>
      </c>
      <c r="AZ63" s="93" t="s">
        <v>894</v>
      </c>
      <c r="BB63" s="805" t="s">
        <v>918</v>
      </c>
      <c r="BC63" s="93" t="s">
        <v>919</v>
      </c>
    </row>
    <row r="64" spans="1:55">
      <c r="A64" s="1000" t="s">
        <v>2620</v>
      </c>
      <c r="R64" s="811" t="s">
        <v>2016</v>
      </c>
      <c r="S64" s="831">
        <v>10.6</v>
      </c>
      <c r="T64" s="846">
        <v>13.9</v>
      </c>
      <c r="U64" s="97">
        <f t="shared" ref="U64:U71" si="10">V64*3.412</f>
        <v>10.9184</v>
      </c>
      <c r="V64" s="97">
        <v>3.2</v>
      </c>
      <c r="W64" s="97">
        <v>1.1961999999999999</v>
      </c>
      <c r="X64" s="97" t="b">
        <v>0</v>
      </c>
      <c r="AN64" s="914"/>
      <c r="AO64" s="97">
        <v>1.0589999999999999</v>
      </c>
      <c r="AP64" s="97">
        <v>0</v>
      </c>
      <c r="AQ64" s="97">
        <v>0</v>
      </c>
      <c r="AR64" s="97">
        <v>2.3E-3</v>
      </c>
      <c r="AS64" s="915">
        <v>0</v>
      </c>
      <c r="AU64" s="404" t="s">
        <v>532</v>
      </c>
      <c r="AW64" s="400" t="s">
        <v>929</v>
      </c>
      <c r="AY64" s="805" t="s">
        <v>895</v>
      </c>
      <c r="AZ64" s="93" t="s">
        <v>896</v>
      </c>
      <c r="BB64" s="805" t="s">
        <v>920</v>
      </c>
      <c r="BC64" s="93" t="s">
        <v>921</v>
      </c>
    </row>
    <row r="65" spans="1:57">
      <c r="A65" s="1001" t="s">
        <v>2621</v>
      </c>
      <c r="R65" s="811" t="s">
        <v>2017</v>
      </c>
      <c r="S65" s="831">
        <v>9.5</v>
      </c>
      <c r="T65" s="846">
        <v>12.7</v>
      </c>
      <c r="U65" s="97">
        <f t="shared" si="10"/>
        <v>10.9184</v>
      </c>
      <c r="V65" s="97">
        <v>3.2</v>
      </c>
      <c r="W65" s="97">
        <v>1.1961999999999999</v>
      </c>
      <c r="X65" s="97" t="b">
        <v>0</v>
      </c>
      <c r="AN65" s="914"/>
      <c r="AO65" s="97">
        <v>1.0589999999999999</v>
      </c>
      <c r="AP65" s="97">
        <v>0</v>
      </c>
      <c r="AQ65" s="97">
        <v>0</v>
      </c>
      <c r="AR65" s="97">
        <v>2.3E-3</v>
      </c>
      <c r="AS65" s="915">
        <v>0</v>
      </c>
      <c r="AU65" s="820" t="s">
        <v>885</v>
      </c>
      <c r="AW65" s="96" t="s">
        <v>930</v>
      </c>
      <c r="AY65" s="805" t="s">
        <v>897</v>
      </c>
      <c r="AZ65" s="93" t="s">
        <v>898</v>
      </c>
      <c r="BB65" s="805" t="s">
        <v>922</v>
      </c>
      <c r="BC65" s="93" t="s">
        <v>923</v>
      </c>
    </row>
    <row r="66" spans="1:57">
      <c r="A66" s="1001" t="s">
        <v>943</v>
      </c>
      <c r="R66" s="811" t="s">
        <v>1666</v>
      </c>
      <c r="S66" s="831">
        <v>12</v>
      </c>
      <c r="T66" s="846">
        <v>16</v>
      </c>
      <c r="U66" s="97">
        <f t="shared" si="10"/>
        <v>14.6716</v>
      </c>
      <c r="V66" s="97">
        <v>4.3</v>
      </c>
      <c r="W66" s="97">
        <v>1.1961999999999999</v>
      </c>
      <c r="X66" s="97" t="b">
        <v>0</v>
      </c>
      <c r="AN66" s="914"/>
      <c r="AO66" s="97">
        <v>1.0589999999999999</v>
      </c>
      <c r="AP66" s="97">
        <v>0</v>
      </c>
      <c r="AQ66" s="97">
        <v>0</v>
      </c>
      <c r="AR66" s="97">
        <v>2.3E-3</v>
      </c>
      <c r="AS66" s="915">
        <v>0</v>
      </c>
      <c r="AU66" s="805" t="s">
        <v>532</v>
      </c>
      <c r="AW66" s="97" t="s">
        <v>926</v>
      </c>
      <c r="AY66" s="827" t="s">
        <v>899</v>
      </c>
      <c r="AZ66" s="94" t="s">
        <v>900</v>
      </c>
      <c r="BB66" s="827" t="s">
        <v>924</v>
      </c>
      <c r="BC66" s="94" t="s">
        <v>892</v>
      </c>
    </row>
    <row r="67" spans="1:57">
      <c r="A67" s="1001" t="s">
        <v>2622</v>
      </c>
      <c r="R67" s="811" t="s">
        <v>1667</v>
      </c>
      <c r="S67" s="831">
        <v>12</v>
      </c>
      <c r="T67" s="846">
        <v>16</v>
      </c>
      <c r="U67" s="97">
        <f t="shared" si="10"/>
        <v>14.6716</v>
      </c>
      <c r="V67" s="97">
        <v>4.3</v>
      </c>
      <c r="W67" s="97">
        <v>1.1961999999999999</v>
      </c>
      <c r="X67" s="97" t="b">
        <v>0</v>
      </c>
      <c r="AN67" s="914"/>
      <c r="AO67" s="97">
        <v>1.0589999999999999</v>
      </c>
      <c r="AP67" s="97">
        <v>0</v>
      </c>
      <c r="AQ67" s="97">
        <v>0</v>
      </c>
      <c r="AR67" s="97">
        <v>2.3E-3</v>
      </c>
      <c r="AS67" s="915">
        <v>0</v>
      </c>
      <c r="AU67" s="827" t="s">
        <v>946</v>
      </c>
      <c r="AW67" s="97" t="s">
        <v>931</v>
      </c>
    </row>
    <row r="68" spans="1:57">
      <c r="A68" s="1001" t="s">
        <v>2623</v>
      </c>
      <c r="R68" s="811" t="s">
        <v>1668</v>
      </c>
      <c r="S68" s="831">
        <v>10</v>
      </c>
      <c r="T68" s="846">
        <v>14</v>
      </c>
      <c r="U68" s="97">
        <f t="shared" si="10"/>
        <v>13.648</v>
      </c>
      <c r="V68" s="831">
        <v>4</v>
      </c>
      <c r="W68" s="97">
        <v>1.1961999999999999</v>
      </c>
      <c r="X68" s="97" t="b">
        <v>0</v>
      </c>
      <c r="AN68" s="914"/>
      <c r="AO68" s="97">
        <v>1.0589999999999999</v>
      </c>
      <c r="AP68" s="97">
        <v>0</v>
      </c>
      <c r="AQ68" s="97">
        <v>0</v>
      </c>
      <c r="AR68" s="97">
        <v>2.3E-3</v>
      </c>
      <c r="AS68" s="915">
        <v>0</v>
      </c>
      <c r="AW68" s="98" t="s">
        <v>932</v>
      </c>
      <c r="AY68" s="1295" t="s">
        <v>901</v>
      </c>
      <c r="AZ68" s="1295"/>
      <c r="BB68" s="1293" t="s">
        <v>933</v>
      </c>
      <c r="BC68" s="1294"/>
    </row>
    <row r="69" spans="1:57">
      <c r="R69" s="811" t="s">
        <v>1669</v>
      </c>
      <c r="S69" s="831">
        <v>10</v>
      </c>
      <c r="T69" s="846">
        <v>12</v>
      </c>
      <c r="U69" s="97">
        <f t="shared" si="10"/>
        <v>13.306799999999999</v>
      </c>
      <c r="V69" s="97">
        <v>3.9</v>
      </c>
      <c r="W69" s="97">
        <v>1.1961999999999999</v>
      </c>
      <c r="X69" s="97" t="b">
        <v>0</v>
      </c>
      <c r="AN69" s="914"/>
      <c r="AO69" s="97">
        <v>1.0589999999999999</v>
      </c>
      <c r="AP69" s="97">
        <v>0</v>
      </c>
      <c r="AQ69" s="97">
        <v>0</v>
      </c>
      <c r="AR69" s="97">
        <v>2.3E-3</v>
      </c>
      <c r="AS69" s="915">
        <v>0</v>
      </c>
      <c r="AU69" s="403" t="s">
        <v>947</v>
      </c>
      <c r="AV69" s="405"/>
      <c r="AW69" s="836"/>
      <c r="AY69" s="820" t="s">
        <v>885</v>
      </c>
      <c r="AZ69" s="821" t="s">
        <v>886</v>
      </c>
      <c r="BB69" s="805" t="s">
        <v>885</v>
      </c>
      <c r="BC69" s="93" t="s">
        <v>886</v>
      </c>
    </row>
    <row r="70" spans="1:57">
      <c r="R70" s="811" t="s">
        <v>1684</v>
      </c>
      <c r="S70" s="831">
        <v>18</v>
      </c>
      <c r="T70" s="831">
        <f>S70</f>
        <v>18</v>
      </c>
      <c r="U70" s="97">
        <f t="shared" si="10"/>
        <v>12.6244</v>
      </c>
      <c r="V70" s="97">
        <v>3.7</v>
      </c>
      <c r="W70" s="97">
        <v>1.1961999999999999</v>
      </c>
      <c r="X70" s="97" t="b">
        <v>0</v>
      </c>
      <c r="AN70" s="914"/>
      <c r="AO70" s="97">
        <v>1.0589999999999999</v>
      </c>
      <c r="AP70" s="97">
        <v>0</v>
      </c>
      <c r="AQ70" s="97">
        <v>0</v>
      </c>
      <c r="AR70" s="97">
        <v>2.3E-3</v>
      </c>
      <c r="AS70" s="915">
        <v>0</v>
      </c>
      <c r="AU70" s="805" t="s">
        <v>885</v>
      </c>
      <c r="AV70" s="93"/>
      <c r="AW70" s="399" t="s">
        <v>942</v>
      </c>
      <c r="AY70" s="805" t="s">
        <v>902</v>
      </c>
      <c r="AZ70" s="93" t="s">
        <v>903</v>
      </c>
      <c r="BB70" s="805" t="s">
        <v>934</v>
      </c>
      <c r="BC70" s="93" t="s">
        <v>935</v>
      </c>
    </row>
    <row r="71" spans="1:57">
      <c r="R71" s="811" t="s">
        <v>2018</v>
      </c>
      <c r="S71" s="831">
        <v>14.1</v>
      </c>
      <c r="T71" s="831">
        <f>S71</f>
        <v>14.1</v>
      </c>
      <c r="U71" s="97">
        <f t="shared" si="10"/>
        <v>10.9184</v>
      </c>
      <c r="V71" s="97">
        <v>3.2</v>
      </c>
      <c r="W71" s="97">
        <v>1.1961999999999999</v>
      </c>
      <c r="X71" s="97" t="b">
        <v>0</v>
      </c>
      <c r="AN71" s="914"/>
      <c r="AO71" s="97">
        <v>1.0589999999999999</v>
      </c>
      <c r="AP71" s="97">
        <v>0</v>
      </c>
      <c r="AQ71" s="97">
        <v>0</v>
      </c>
      <c r="AR71" s="97">
        <v>2.3E-3</v>
      </c>
      <c r="AS71" s="915">
        <v>0</v>
      </c>
      <c r="AU71" s="805" t="s">
        <v>532</v>
      </c>
      <c r="AV71" s="93"/>
      <c r="AW71" s="97" t="s">
        <v>885</v>
      </c>
      <c r="AY71" s="805" t="s">
        <v>904</v>
      </c>
      <c r="AZ71" s="93" t="s">
        <v>905</v>
      </c>
      <c r="BB71" s="805" t="s">
        <v>936</v>
      </c>
      <c r="BC71" s="93" t="s">
        <v>917</v>
      </c>
    </row>
    <row r="72" spans="1:57">
      <c r="R72" s="811" t="s">
        <v>1685</v>
      </c>
      <c r="S72" s="831"/>
      <c r="T72" s="97"/>
      <c r="U72" s="97"/>
      <c r="V72" s="866">
        <v>0.8</v>
      </c>
      <c r="W72" s="97">
        <f>0.05306*W88</f>
        <v>116.97607600000001</v>
      </c>
      <c r="X72" s="866" t="b">
        <v>1</v>
      </c>
      <c r="AN72" s="914"/>
      <c r="AO72" s="97">
        <v>1.0589999999999999</v>
      </c>
      <c r="AP72" s="97">
        <v>0</v>
      </c>
      <c r="AQ72" s="97">
        <v>0</v>
      </c>
      <c r="AR72" s="97">
        <v>2.3E-3</v>
      </c>
      <c r="AS72" s="915">
        <v>0</v>
      </c>
      <c r="AU72" s="805"/>
      <c r="AV72" s="93"/>
      <c r="AW72" s="97"/>
      <c r="AY72" s="805"/>
      <c r="AZ72" s="93"/>
      <c r="BB72" s="805"/>
      <c r="BC72" s="93"/>
    </row>
    <row r="73" spans="1:57">
      <c r="R73" s="811" t="s">
        <v>1686</v>
      </c>
      <c r="S73" s="831"/>
      <c r="T73" s="97"/>
      <c r="U73" s="97"/>
      <c r="V73" s="866">
        <v>0.8</v>
      </c>
      <c r="W73" s="97">
        <f>0.07396*W88</f>
        <v>163.05221599999999</v>
      </c>
      <c r="X73" s="866" t="b">
        <v>1</v>
      </c>
      <c r="AN73" s="914"/>
      <c r="AO73" s="97">
        <v>1.0589999999999999</v>
      </c>
      <c r="AP73" s="97">
        <v>0</v>
      </c>
      <c r="AQ73" s="97">
        <v>0</v>
      </c>
      <c r="AR73" s="97">
        <v>2.3E-3</v>
      </c>
      <c r="AS73" s="915">
        <v>0</v>
      </c>
      <c r="AU73" s="805"/>
      <c r="AV73" s="93"/>
      <c r="AW73" s="97"/>
      <c r="AY73" s="805"/>
      <c r="AZ73" s="93"/>
      <c r="BB73" s="805"/>
      <c r="BC73" s="93"/>
    </row>
    <row r="74" spans="1:57">
      <c r="R74" s="811" t="s">
        <v>1687</v>
      </c>
      <c r="S74" s="831"/>
      <c r="T74" s="97"/>
      <c r="U74" s="97"/>
      <c r="V74" s="866">
        <v>0.8</v>
      </c>
      <c r="W74" s="97">
        <f>0.06146*W88</f>
        <v>135.49471599999998</v>
      </c>
      <c r="X74" s="866" t="b">
        <v>1</v>
      </c>
      <c r="AN74" s="914"/>
      <c r="AO74" s="97">
        <v>1.0589999999999999</v>
      </c>
      <c r="AP74" s="97">
        <v>0</v>
      </c>
      <c r="AQ74" s="97">
        <v>0</v>
      </c>
      <c r="AR74" s="97">
        <v>2.3E-3</v>
      </c>
      <c r="AS74" s="915">
        <v>0</v>
      </c>
      <c r="AU74" s="805" t="s">
        <v>946</v>
      </c>
      <c r="AV74" s="93"/>
      <c r="AW74" s="97" t="s">
        <v>943</v>
      </c>
      <c r="AY74" s="805" t="s">
        <v>906</v>
      </c>
      <c r="AZ74" s="93" t="s">
        <v>907</v>
      </c>
      <c r="BB74" s="805" t="s">
        <v>937</v>
      </c>
      <c r="BC74" s="93" t="s">
        <v>894</v>
      </c>
    </row>
    <row r="75" spans="1:57">
      <c r="R75" s="811" t="s">
        <v>1688</v>
      </c>
      <c r="S75" s="831"/>
      <c r="T75" s="97"/>
      <c r="U75" s="97"/>
      <c r="V75" s="866">
        <v>1</v>
      </c>
      <c r="W75" s="97">
        <v>1.1961999999999999</v>
      </c>
      <c r="X75" s="866" t="b">
        <v>0</v>
      </c>
      <c r="AN75" s="914"/>
      <c r="AO75" s="97">
        <v>1.0589999999999999</v>
      </c>
      <c r="AP75" s="97">
        <v>0</v>
      </c>
      <c r="AQ75" s="97">
        <v>0</v>
      </c>
      <c r="AR75" s="97">
        <v>2.3E-3</v>
      </c>
      <c r="AS75" s="915">
        <v>0</v>
      </c>
      <c r="AU75" s="827" t="s">
        <v>948</v>
      </c>
      <c r="AV75" s="93"/>
      <c r="AW75" s="97" t="s">
        <v>944</v>
      </c>
      <c r="AY75" s="805" t="s">
        <v>908</v>
      </c>
      <c r="AZ75" s="93" t="s">
        <v>909</v>
      </c>
      <c r="BB75" s="805" t="s">
        <v>938</v>
      </c>
      <c r="BC75" s="93" t="s">
        <v>939</v>
      </c>
    </row>
    <row r="76" spans="1:57">
      <c r="R76" s="811" t="s">
        <v>1676</v>
      </c>
      <c r="S76" s="831"/>
      <c r="T76" s="97"/>
      <c r="U76" s="97"/>
      <c r="V76" s="866">
        <v>0.82</v>
      </c>
      <c r="W76" s="97">
        <f t="shared" ref="W76:W78" si="11">0.05306</f>
        <v>5.3060000000000003E-2</v>
      </c>
      <c r="X76" s="866" t="b">
        <v>1</v>
      </c>
      <c r="AN76" s="914"/>
      <c r="AO76" s="97">
        <v>1.0589999999999999</v>
      </c>
      <c r="AP76" s="97">
        <v>0</v>
      </c>
      <c r="AQ76" s="97">
        <v>0</v>
      </c>
      <c r="AR76" s="97">
        <v>2.3E-3</v>
      </c>
      <c r="AS76" s="915">
        <v>0</v>
      </c>
      <c r="AW76" s="98" t="s">
        <v>945</v>
      </c>
      <c r="AY76" s="827" t="s">
        <v>910</v>
      </c>
      <c r="AZ76" s="94" t="s">
        <v>911</v>
      </c>
      <c r="BB76" s="805" t="s">
        <v>940</v>
      </c>
      <c r="BC76" s="93" t="s">
        <v>892</v>
      </c>
    </row>
    <row r="77" spans="1:57">
      <c r="R77" s="811" t="s">
        <v>1677</v>
      </c>
      <c r="S77" s="831"/>
      <c r="T77" s="97"/>
      <c r="U77" s="97"/>
      <c r="V77" s="866">
        <v>0.8</v>
      </c>
      <c r="W77" s="97">
        <f t="shared" si="11"/>
        <v>5.3060000000000003E-2</v>
      </c>
      <c r="X77" s="866" t="b">
        <v>1</v>
      </c>
      <c r="AN77" s="914"/>
      <c r="AO77" s="97">
        <v>1.0589999999999999</v>
      </c>
      <c r="AP77" s="97">
        <v>0</v>
      </c>
      <c r="AQ77" s="97">
        <v>0</v>
      </c>
      <c r="AR77" s="97">
        <v>2.3E-3</v>
      </c>
      <c r="AS77" s="915">
        <v>0</v>
      </c>
      <c r="AU77" s="400" t="s">
        <v>949</v>
      </c>
      <c r="BB77" s="827" t="s">
        <v>941</v>
      </c>
      <c r="BC77" s="94" t="s">
        <v>914</v>
      </c>
    </row>
    <row r="78" spans="1:57">
      <c r="R78" s="811" t="s">
        <v>1678</v>
      </c>
      <c r="S78" s="831"/>
      <c r="T78" s="97"/>
      <c r="U78" s="97"/>
      <c r="V78" s="866">
        <v>0.82</v>
      </c>
      <c r="W78" s="97">
        <f t="shared" si="11"/>
        <v>5.3060000000000003E-2</v>
      </c>
      <c r="X78" s="866" t="b">
        <v>1</v>
      </c>
      <c r="AN78" s="914"/>
      <c r="AO78" s="97">
        <v>1.0589999999999999</v>
      </c>
      <c r="AP78" s="97">
        <v>0</v>
      </c>
      <c r="AQ78" s="97">
        <v>0</v>
      </c>
      <c r="AR78" s="97">
        <v>2.3E-3</v>
      </c>
      <c r="AS78" s="915">
        <v>0</v>
      </c>
      <c r="AU78" s="96" t="s">
        <v>930</v>
      </c>
      <c r="AW78" s="237" t="s">
        <v>952</v>
      </c>
      <c r="AY78" s="408" t="s">
        <v>968</v>
      </c>
    </row>
    <row r="79" spans="1:57">
      <c r="R79" s="811" t="s">
        <v>1679</v>
      </c>
      <c r="S79" s="831"/>
      <c r="T79" s="97"/>
      <c r="U79" s="97"/>
      <c r="V79" s="866">
        <v>0.84</v>
      </c>
      <c r="W79" s="97">
        <f>0.07396*W88</f>
        <v>163.05221599999999</v>
      </c>
      <c r="X79" s="866" t="b">
        <v>1</v>
      </c>
      <c r="AN79" s="914"/>
      <c r="AO79" s="97">
        <v>1.0589999999999999</v>
      </c>
      <c r="AP79" s="97">
        <v>0</v>
      </c>
      <c r="AQ79" s="97">
        <v>0</v>
      </c>
      <c r="AR79" s="97">
        <v>2.3E-3</v>
      </c>
      <c r="AS79" s="915">
        <v>0</v>
      </c>
      <c r="AU79" s="97" t="s">
        <v>950</v>
      </c>
      <c r="AW79" s="96" t="s">
        <v>953</v>
      </c>
      <c r="AY79" s="842" t="s">
        <v>885</v>
      </c>
      <c r="BA79" s="409" t="s">
        <v>972</v>
      </c>
    </row>
    <row r="80" spans="1:57">
      <c r="R80" s="811" t="s">
        <v>1680</v>
      </c>
      <c r="S80" s="831"/>
      <c r="T80" s="97"/>
      <c r="U80" s="97"/>
      <c r="V80" s="866">
        <v>0.82</v>
      </c>
      <c r="W80" s="97">
        <f>0.07396*W88</f>
        <v>163.05221599999999</v>
      </c>
      <c r="X80" s="866" t="b">
        <v>1</v>
      </c>
      <c r="AN80" s="914"/>
      <c r="AO80" s="97">
        <v>1.0589999999999999</v>
      </c>
      <c r="AP80" s="97">
        <v>0</v>
      </c>
      <c r="AQ80" s="97">
        <v>0</v>
      </c>
      <c r="AR80" s="97">
        <v>2.3E-3</v>
      </c>
      <c r="AS80" s="915">
        <v>0</v>
      </c>
      <c r="AU80" s="98" t="s">
        <v>951</v>
      </c>
      <c r="AW80" s="97" t="s">
        <v>207</v>
      </c>
      <c r="AY80" s="842" t="s">
        <v>969</v>
      </c>
      <c r="BA80" s="843" t="s">
        <v>885</v>
      </c>
      <c r="BD80" s="413" t="s">
        <v>1191</v>
      </c>
      <c r="BE80" s="413" t="s">
        <v>1192</v>
      </c>
    </row>
    <row r="81" spans="18:57">
      <c r="R81" s="811" t="s">
        <v>1681</v>
      </c>
      <c r="S81" s="831"/>
      <c r="T81" s="97"/>
      <c r="U81" s="97"/>
      <c r="V81" s="866">
        <v>0.84</v>
      </c>
      <c r="W81" s="97">
        <f>0.07396*W88</f>
        <v>163.05221599999999</v>
      </c>
      <c r="X81" s="866" t="b">
        <v>1</v>
      </c>
      <c r="AN81" s="914"/>
      <c r="AO81" s="97">
        <v>1.0589999999999999</v>
      </c>
      <c r="AP81" s="97">
        <v>0</v>
      </c>
      <c r="AQ81" s="97">
        <v>0</v>
      </c>
      <c r="AR81" s="97">
        <v>2.3E-3</v>
      </c>
      <c r="AS81" s="915">
        <v>0</v>
      </c>
      <c r="AW81" s="97" t="s">
        <v>363</v>
      </c>
      <c r="AY81" s="842" t="s">
        <v>970</v>
      </c>
      <c r="BA81" s="845" t="s">
        <v>973</v>
      </c>
      <c r="BD81" t="s">
        <v>885</v>
      </c>
      <c r="BE81" s="25" t="s">
        <v>885</v>
      </c>
    </row>
    <row r="82" spans="18:57">
      <c r="R82" s="811" t="s">
        <v>1689</v>
      </c>
      <c r="S82" s="831"/>
      <c r="T82" s="97"/>
      <c r="U82" s="97">
        <f>V82*3.412</f>
        <v>3.4119999999999999</v>
      </c>
      <c r="V82" s="97">
        <v>1</v>
      </c>
      <c r="W82" s="97">
        <v>1.1961999999999999</v>
      </c>
      <c r="X82" s="97" t="b">
        <v>0</v>
      </c>
      <c r="AN82" s="914"/>
      <c r="AO82" s="97">
        <v>1.0589999999999999</v>
      </c>
      <c r="AP82" s="97">
        <v>0</v>
      </c>
      <c r="AQ82" s="97">
        <v>0</v>
      </c>
      <c r="AR82" s="97">
        <v>2.3E-3</v>
      </c>
      <c r="AS82" s="915">
        <v>0</v>
      </c>
      <c r="AU82" s="406" t="s">
        <v>958</v>
      </c>
      <c r="AW82" s="97" t="s">
        <v>1172</v>
      </c>
      <c r="AY82" s="847" t="s">
        <v>971</v>
      </c>
      <c r="BA82" s="845" t="s">
        <v>974</v>
      </c>
      <c r="BD82" t="s">
        <v>1189</v>
      </c>
      <c r="BE82" s="25" t="s">
        <v>1200</v>
      </c>
    </row>
    <row r="83" spans="18:57">
      <c r="AN83" s="914"/>
      <c r="AO83" s="97">
        <v>1.0589999999999999</v>
      </c>
      <c r="AP83" s="97">
        <v>0</v>
      </c>
      <c r="AQ83" s="97">
        <v>0</v>
      </c>
      <c r="AR83" s="97">
        <v>2.3E-3</v>
      </c>
      <c r="AS83" s="915">
        <v>0</v>
      </c>
      <c r="AU83" s="848" t="s">
        <v>885</v>
      </c>
      <c r="AW83" s="97" t="s">
        <v>208</v>
      </c>
      <c r="BA83" s="845" t="s">
        <v>975</v>
      </c>
      <c r="BD83" s="25" t="s">
        <v>1201</v>
      </c>
      <c r="BE83" t="s">
        <v>1194</v>
      </c>
    </row>
    <row r="84" spans="18:57">
      <c r="AN84" s="914"/>
      <c r="AO84" s="97">
        <v>1.0589999999999999</v>
      </c>
      <c r="AP84" s="97">
        <v>3.847</v>
      </c>
      <c r="AQ84" s="97">
        <v>0</v>
      </c>
      <c r="AR84" s="97">
        <v>2.3E-3</v>
      </c>
      <c r="AS84" s="915">
        <v>1.5800000000000002E-2</v>
      </c>
      <c r="AU84" s="848" t="s">
        <v>959</v>
      </c>
      <c r="AW84" s="97" t="s">
        <v>954</v>
      </c>
      <c r="AY84" s="410" t="s">
        <v>985</v>
      </c>
      <c r="BA84" s="845" t="s">
        <v>976</v>
      </c>
      <c r="BD84" s="25" t="s">
        <v>1202</v>
      </c>
      <c r="BE84" t="s">
        <v>1195</v>
      </c>
    </row>
    <row r="85" spans="18:57">
      <c r="R85" s="1260" t="s">
        <v>787</v>
      </c>
      <c r="S85" s="1260"/>
      <c r="T85" s="1260"/>
      <c r="U85" s="1260"/>
      <c r="V85" s="1260"/>
      <c r="W85" s="1260"/>
      <c r="X85" s="1260"/>
      <c r="Y85" s="1260"/>
      <c r="Z85" s="1260"/>
      <c r="AA85" s="1260"/>
      <c r="AB85" s="1260"/>
      <c r="AC85" s="1260"/>
      <c r="AD85" s="1260"/>
      <c r="AE85" s="1260"/>
      <c r="AF85" s="1260"/>
      <c r="AG85" s="1260"/>
      <c r="AN85" s="914"/>
      <c r="AO85" s="97">
        <v>1.0589999999999999</v>
      </c>
      <c r="AP85" s="97">
        <v>3.847</v>
      </c>
      <c r="AQ85" s="97">
        <v>0</v>
      </c>
      <c r="AR85" s="97">
        <v>2.3E-3</v>
      </c>
      <c r="AS85" s="915">
        <v>1.5800000000000002E-2</v>
      </c>
      <c r="AU85" s="848" t="s">
        <v>960</v>
      </c>
      <c r="AW85" s="98" t="s">
        <v>216</v>
      </c>
      <c r="AY85" s="849" t="s">
        <v>885</v>
      </c>
      <c r="BA85" s="845" t="s">
        <v>977</v>
      </c>
      <c r="BD85" t="s">
        <v>1190</v>
      </c>
      <c r="BE85" t="s">
        <v>1196</v>
      </c>
    </row>
    <row r="86" spans="18:57">
      <c r="AN86" s="914"/>
      <c r="AO86" s="97">
        <v>1.0589999999999999</v>
      </c>
      <c r="AP86" s="97">
        <v>3.847</v>
      </c>
      <c r="AQ86" s="97">
        <v>0</v>
      </c>
      <c r="AR86" s="97">
        <v>2.3E-3</v>
      </c>
      <c r="AS86" s="915">
        <v>1.5800000000000002E-2</v>
      </c>
      <c r="AU86" s="848" t="s">
        <v>961</v>
      </c>
      <c r="AY86" s="849" t="s">
        <v>986</v>
      </c>
      <c r="BA86" s="845" t="s">
        <v>978</v>
      </c>
      <c r="BD86" t="s">
        <v>1193</v>
      </c>
      <c r="BE86" t="s">
        <v>1197</v>
      </c>
    </row>
    <row r="87" spans="18:57">
      <c r="R87" s="398" t="s">
        <v>1230</v>
      </c>
      <c r="T87" s="237" t="s">
        <v>1778</v>
      </c>
      <c r="U87" s="237" t="s">
        <v>212</v>
      </c>
      <c r="W87" s="237" t="s">
        <v>384</v>
      </c>
      <c r="X87" s="237"/>
      <c r="Z87" s="1262" t="s">
        <v>834</v>
      </c>
      <c r="AA87" s="1262" t="s">
        <v>1047</v>
      </c>
      <c r="AB87" s="1262" t="s">
        <v>1046</v>
      </c>
      <c r="AN87" s="914"/>
      <c r="AO87" s="97">
        <v>1.0589999999999999</v>
      </c>
      <c r="AP87" s="97">
        <v>3.847</v>
      </c>
      <c r="AQ87" s="97">
        <v>0</v>
      </c>
      <c r="AR87" s="97">
        <v>2.3E-3</v>
      </c>
      <c r="AS87" s="915">
        <v>1.5800000000000002E-2</v>
      </c>
      <c r="AU87" s="848" t="s">
        <v>962</v>
      </c>
      <c r="AW87" s="407" t="s">
        <v>967</v>
      </c>
      <c r="AY87" s="849" t="s">
        <v>987</v>
      </c>
      <c r="BA87" s="845" t="s">
        <v>979</v>
      </c>
      <c r="BE87" t="s">
        <v>1198</v>
      </c>
    </row>
    <row r="88" spans="18:57">
      <c r="R88" s="397" t="s">
        <v>795</v>
      </c>
      <c r="T88" s="96" t="s">
        <v>2122</v>
      </c>
      <c r="U88" s="1003">
        <v>11.2</v>
      </c>
      <c r="W88" s="873">
        <v>2204.6</v>
      </c>
      <c r="X88" s="874" t="s">
        <v>385</v>
      </c>
      <c r="Z88" s="1263"/>
      <c r="AA88" s="1263"/>
      <c r="AB88" s="1263"/>
      <c r="AN88" s="914"/>
      <c r="AO88" s="97">
        <v>0</v>
      </c>
      <c r="AP88" s="97">
        <v>0</v>
      </c>
      <c r="AQ88" s="97">
        <v>0</v>
      </c>
      <c r="AR88" s="97">
        <v>0</v>
      </c>
      <c r="AS88" s="915">
        <v>0</v>
      </c>
      <c r="AU88" s="848" t="s">
        <v>963</v>
      </c>
      <c r="AW88" s="850" t="s">
        <v>885</v>
      </c>
      <c r="AY88" s="849" t="s">
        <v>988</v>
      </c>
      <c r="BA88" s="845" t="s">
        <v>980</v>
      </c>
      <c r="BE88" t="s">
        <v>1199</v>
      </c>
    </row>
    <row r="89" spans="18:57">
      <c r="R89" t="s">
        <v>1144</v>
      </c>
      <c r="T89" s="97" t="s">
        <v>2123</v>
      </c>
      <c r="U89" s="1004">
        <v>77.400000000000006</v>
      </c>
      <c r="W89" s="873">
        <v>1E-3</v>
      </c>
      <c r="X89" s="874" t="s">
        <v>386</v>
      </c>
      <c r="Z89" s="2" t="s">
        <v>1152</v>
      </c>
      <c r="AA89" s="2">
        <v>0.1</v>
      </c>
      <c r="AB89" s="2">
        <v>0.1</v>
      </c>
      <c r="AN89" s="914"/>
      <c r="AO89" s="97">
        <v>0</v>
      </c>
      <c r="AP89" s="97">
        <v>0</v>
      </c>
      <c r="AQ89" s="97">
        <v>0</v>
      </c>
      <c r="AR89" s="97">
        <v>0</v>
      </c>
      <c r="AS89" s="915">
        <v>0</v>
      </c>
      <c r="AU89" s="848" t="s">
        <v>964</v>
      </c>
      <c r="AW89" s="850" t="s">
        <v>965</v>
      </c>
      <c r="AY89" s="849" t="s">
        <v>989</v>
      </c>
      <c r="BA89" s="845" t="s">
        <v>981</v>
      </c>
      <c r="BC89" s="851"/>
    </row>
    <row r="90" spans="18:57">
      <c r="R90" t="s">
        <v>1240</v>
      </c>
      <c r="T90" s="97" t="s">
        <v>2124</v>
      </c>
      <c r="U90" s="1004">
        <v>1.7999999999999999E-2</v>
      </c>
      <c r="Z90" s="2" t="s">
        <v>1153</v>
      </c>
      <c r="AA90" s="2">
        <v>0.1</v>
      </c>
      <c r="AB90" s="2">
        <v>0.1</v>
      </c>
      <c r="AN90" s="914"/>
      <c r="AO90" s="97">
        <v>0</v>
      </c>
      <c r="AP90" s="97">
        <v>0</v>
      </c>
      <c r="AQ90" s="97">
        <v>0</v>
      </c>
      <c r="AR90" s="97">
        <v>0</v>
      </c>
      <c r="AS90" s="915">
        <v>0</v>
      </c>
      <c r="AW90" s="852" t="s">
        <v>966</v>
      </c>
      <c r="AY90" s="849" t="s">
        <v>990</v>
      </c>
      <c r="BA90" s="845" t="s">
        <v>982</v>
      </c>
      <c r="BC90" s="851"/>
    </row>
    <row r="91" spans="18:57">
      <c r="R91" t="s">
        <v>1231</v>
      </c>
      <c r="T91" s="98" t="s">
        <v>2125</v>
      </c>
      <c r="U91" s="1002">
        <v>5.2</v>
      </c>
      <c r="Z91" s="2" t="s">
        <v>1057</v>
      </c>
      <c r="AA91" s="2">
        <v>0.6</v>
      </c>
      <c r="AB91" s="2">
        <v>0.6</v>
      </c>
      <c r="AN91" s="914"/>
      <c r="AO91" s="97">
        <v>0</v>
      </c>
      <c r="AP91" s="97">
        <v>0</v>
      </c>
      <c r="AQ91" s="97">
        <v>0</v>
      </c>
      <c r="AR91" s="97">
        <v>0</v>
      </c>
      <c r="AS91" s="915">
        <v>0</v>
      </c>
      <c r="AY91" s="849" t="s">
        <v>991</v>
      </c>
      <c r="BA91" s="853" t="s">
        <v>983</v>
      </c>
    </row>
    <row r="92" spans="18:57">
      <c r="R92" t="s">
        <v>1232</v>
      </c>
      <c r="Z92" s="2" t="s">
        <v>1058</v>
      </c>
      <c r="AA92" s="2">
        <v>0.63</v>
      </c>
      <c r="AB92" s="2">
        <v>0.6</v>
      </c>
      <c r="AN92" s="914"/>
      <c r="AO92" s="97">
        <v>0</v>
      </c>
      <c r="AP92" s="97">
        <v>0</v>
      </c>
      <c r="AQ92" s="97">
        <v>0</v>
      </c>
      <c r="AR92" s="97">
        <v>0</v>
      </c>
      <c r="AS92" s="915">
        <v>0</v>
      </c>
      <c r="AU92" s="1289" t="s">
        <v>993</v>
      </c>
      <c r="AV92" s="1290"/>
      <c r="AY92" s="854" t="s">
        <v>992</v>
      </c>
    </row>
    <row r="93" spans="18:57">
      <c r="R93" t="s">
        <v>1233</v>
      </c>
      <c r="Z93" s="2" t="s">
        <v>1059</v>
      </c>
      <c r="AA93" s="97">
        <v>0.3</v>
      </c>
      <c r="AB93" s="97">
        <v>0.3</v>
      </c>
      <c r="AN93" s="914"/>
      <c r="AO93" s="97">
        <v>0</v>
      </c>
      <c r="AP93" s="97">
        <v>0</v>
      </c>
      <c r="AQ93" s="97">
        <v>0</v>
      </c>
      <c r="AR93" s="97">
        <v>0</v>
      </c>
      <c r="AS93" s="915">
        <v>0</v>
      </c>
      <c r="AU93" s="855" t="s">
        <v>885</v>
      </c>
      <c r="AV93" s="856" t="s">
        <v>886</v>
      </c>
    </row>
    <row r="94" spans="18:57">
      <c r="R94" t="s">
        <v>1234</v>
      </c>
      <c r="Z94" s="2" t="s">
        <v>1150</v>
      </c>
      <c r="AA94" s="2">
        <v>0.6</v>
      </c>
      <c r="AB94" s="2">
        <v>0.6</v>
      </c>
      <c r="AN94" s="914"/>
      <c r="AO94" s="97">
        <v>0</v>
      </c>
      <c r="AP94" s="97">
        <v>0</v>
      </c>
      <c r="AQ94" s="97">
        <v>0</v>
      </c>
      <c r="AR94" s="97">
        <v>0</v>
      </c>
      <c r="AS94" s="915">
        <v>0</v>
      </c>
      <c r="AU94" s="857" t="s">
        <v>994</v>
      </c>
      <c r="AV94" s="856" t="s">
        <v>841</v>
      </c>
      <c r="AX94" s="411" t="s">
        <v>1007</v>
      </c>
      <c r="AY94" s="412"/>
      <c r="BA94" s="413" t="s">
        <v>1020</v>
      </c>
      <c r="BB94" s="414"/>
    </row>
    <row r="95" spans="18:57">
      <c r="R95" t="s">
        <v>1145</v>
      </c>
      <c r="Z95" s="2" t="s">
        <v>1151</v>
      </c>
      <c r="AA95" s="2">
        <v>0.5</v>
      </c>
      <c r="AB95" s="2">
        <v>0.5</v>
      </c>
      <c r="AN95" s="914"/>
      <c r="AO95" s="97">
        <v>0</v>
      </c>
      <c r="AP95" s="97">
        <v>0</v>
      </c>
      <c r="AQ95" s="97">
        <v>0</v>
      </c>
      <c r="AR95" s="97">
        <v>0</v>
      </c>
      <c r="AS95" s="915">
        <v>0</v>
      </c>
      <c r="AU95" s="857" t="s">
        <v>973</v>
      </c>
      <c r="AV95" s="856" t="s">
        <v>995</v>
      </c>
      <c r="AX95" s="858" t="s">
        <v>885</v>
      </c>
      <c r="AY95" s="859" t="s">
        <v>886</v>
      </c>
      <c r="BA95" s="860" t="s">
        <v>885</v>
      </c>
      <c r="BB95" s="861" t="s">
        <v>886</v>
      </c>
    </row>
    <row r="96" spans="18:57">
      <c r="R96" t="s">
        <v>1251</v>
      </c>
      <c r="Z96" s="2" t="s">
        <v>1048</v>
      </c>
      <c r="AA96" s="2">
        <v>0.2</v>
      </c>
      <c r="AB96" s="2">
        <v>0.2</v>
      </c>
      <c r="AN96" s="914"/>
      <c r="AO96" s="97">
        <v>0</v>
      </c>
      <c r="AP96" s="97">
        <v>0</v>
      </c>
      <c r="AQ96" s="97">
        <v>0</v>
      </c>
      <c r="AR96" s="97">
        <v>0</v>
      </c>
      <c r="AS96" s="915">
        <v>0</v>
      </c>
      <c r="AU96" s="862" t="s">
        <v>974</v>
      </c>
      <c r="AV96" s="863"/>
      <c r="AX96" s="864" t="s">
        <v>1008</v>
      </c>
      <c r="AY96" s="865" t="s">
        <v>1009</v>
      </c>
      <c r="BA96" s="860" t="s">
        <v>904</v>
      </c>
      <c r="BB96" s="861" t="s">
        <v>1021</v>
      </c>
    </row>
    <row r="97" spans="18:56">
      <c r="R97" t="s">
        <v>1252</v>
      </c>
      <c r="AN97" s="914"/>
      <c r="AO97" s="97">
        <v>1.0589999999999999</v>
      </c>
      <c r="AP97" s="97">
        <v>3.847</v>
      </c>
      <c r="AQ97" s="97">
        <v>0</v>
      </c>
      <c r="AR97" s="97">
        <v>2.3E-3</v>
      </c>
      <c r="AS97" s="915">
        <v>1.5800000000000002E-2</v>
      </c>
      <c r="AU97" s="857" t="s">
        <v>996</v>
      </c>
      <c r="AV97" s="856" t="s">
        <v>997</v>
      </c>
      <c r="AX97" s="864" t="s">
        <v>1010</v>
      </c>
      <c r="AY97" s="865" t="s">
        <v>1011</v>
      </c>
      <c r="BA97" s="860" t="s">
        <v>906</v>
      </c>
      <c r="BB97" s="861" t="s">
        <v>907</v>
      </c>
    </row>
    <row r="98" spans="18:56">
      <c r="AN98" s="914"/>
      <c r="AO98" s="97">
        <v>1.0589999999999999</v>
      </c>
      <c r="AP98" s="97">
        <v>3.847</v>
      </c>
      <c r="AQ98" s="97">
        <v>0</v>
      </c>
      <c r="AR98" s="97">
        <v>2.3E-3</v>
      </c>
      <c r="AS98" s="915">
        <v>1.5800000000000002E-2</v>
      </c>
      <c r="AU98" s="857" t="s">
        <v>976</v>
      </c>
      <c r="AV98" s="856" t="s">
        <v>998</v>
      </c>
      <c r="AX98" s="864" t="s">
        <v>1012</v>
      </c>
      <c r="AY98" s="865" t="s">
        <v>1013</v>
      </c>
      <c r="BA98" s="860" t="s">
        <v>908</v>
      </c>
      <c r="BB98" s="861" t="s">
        <v>1022</v>
      </c>
    </row>
    <row r="99" spans="18:56">
      <c r="R99" s="1258" t="s">
        <v>1608</v>
      </c>
      <c r="S99" s="1258" t="s">
        <v>1734</v>
      </c>
      <c r="T99" s="1258" t="s">
        <v>1060</v>
      </c>
      <c r="U99" s="1258" t="s">
        <v>1061</v>
      </c>
      <c r="V99" s="1258" t="s">
        <v>1062</v>
      </c>
      <c r="W99" s="1258" t="s">
        <v>1063</v>
      </c>
      <c r="Y99" s="545" t="s">
        <v>33</v>
      </c>
      <c r="Z99" s="545" t="s">
        <v>401</v>
      </c>
      <c r="AA99" s="545" t="s">
        <v>34</v>
      </c>
      <c r="AB99" s="545" t="s">
        <v>145</v>
      </c>
      <c r="AC99" s="545" t="s">
        <v>146</v>
      </c>
      <c r="AD99" s="545" t="s">
        <v>147</v>
      </c>
      <c r="AE99" s="545" t="s">
        <v>148</v>
      </c>
      <c r="AF99" s="545" t="s">
        <v>1796</v>
      </c>
      <c r="AG99" s="545" t="s">
        <v>1797</v>
      </c>
      <c r="AH99" s="545" t="s">
        <v>1798</v>
      </c>
      <c r="AI99" s="545" t="s">
        <v>157</v>
      </c>
      <c r="AJ99" s="545" t="s">
        <v>2630</v>
      </c>
      <c r="AN99" s="914"/>
      <c r="AO99" s="97">
        <v>1.0589999999999999</v>
      </c>
      <c r="AP99" s="97">
        <v>3.847</v>
      </c>
      <c r="AQ99" s="97">
        <v>0</v>
      </c>
      <c r="AR99" s="97">
        <v>2.3E-3</v>
      </c>
      <c r="AS99" s="915">
        <v>1.5800000000000002E-2</v>
      </c>
      <c r="AU99" s="857" t="s">
        <v>999</v>
      </c>
      <c r="AV99" s="856" t="s">
        <v>1000</v>
      </c>
      <c r="AX99" s="864" t="s">
        <v>1014</v>
      </c>
      <c r="AY99" s="865" t="s">
        <v>1015</v>
      </c>
      <c r="BA99" s="867" t="s">
        <v>910</v>
      </c>
      <c r="BB99" s="868" t="s">
        <v>911</v>
      </c>
    </row>
    <row r="100" spans="18:56">
      <c r="R100" s="1259"/>
      <c r="S100" s="1259"/>
      <c r="T100" s="1259"/>
      <c r="U100" s="1259"/>
      <c r="V100" s="1259"/>
      <c r="W100" s="1259"/>
      <c r="Y100" t="s">
        <v>1785</v>
      </c>
      <c r="Z100" s="739" t="s">
        <v>1786</v>
      </c>
      <c r="AA100" s="511"/>
      <c r="AB100" s="511" t="s">
        <v>1791</v>
      </c>
      <c r="AC100" s="548">
        <v>0.8</v>
      </c>
      <c r="AD100" s="513"/>
      <c r="AE100" s="513"/>
      <c r="AF100" s="550">
        <v>8.5000000000000006E-2</v>
      </c>
      <c r="AG100" s="550">
        <v>0.06</v>
      </c>
      <c r="AH100" s="551">
        <v>1</v>
      </c>
      <c r="AI100" s="566">
        <v>200</v>
      </c>
      <c r="AJ100" s="1014">
        <f>AI100*1.25</f>
        <v>250</v>
      </c>
      <c r="AM100" s="566"/>
      <c r="AN100" s="914"/>
      <c r="AO100" s="97">
        <v>1.0589999999999999</v>
      </c>
      <c r="AP100" s="97">
        <v>3.847</v>
      </c>
      <c r="AQ100" s="97">
        <v>0</v>
      </c>
      <c r="AR100" s="97">
        <v>2.3E-3</v>
      </c>
      <c r="AS100" s="915">
        <v>1.5800000000000002E-2</v>
      </c>
      <c r="AU100" s="857" t="s">
        <v>979</v>
      </c>
      <c r="AV100" s="856" t="s">
        <v>1001</v>
      </c>
      <c r="AX100" s="864" t="s">
        <v>1016</v>
      </c>
      <c r="AY100" s="865" t="s">
        <v>939</v>
      </c>
    </row>
    <row r="101" spans="18:56">
      <c r="R101" s="2" t="s">
        <v>1612</v>
      </c>
      <c r="S101" s="844">
        <v>0</v>
      </c>
      <c r="T101" s="515">
        <v>0.92200000000000004</v>
      </c>
      <c r="U101" s="515">
        <v>0.85699999999999998</v>
      </c>
      <c r="V101" s="877">
        <v>0.98599999999999999</v>
      </c>
      <c r="W101" s="877">
        <v>0.89600000000000002</v>
      </c>
      <c r="Y101" t="s">
        <v>1785</v>
      </c>
      <c r="Z101" s="740" t="s">
        <v>1787</v>
      </c>
      <c r="AA101" s="511"/>
      <c r="AB101" s="547" t="s">
        <v>1792</v>
      </c>
      <c r="AC101" s="741">
        <v>0.82199999999999995</v>
      </c>
      <c r="AD101" s="546"/>
      <c r="AE101" s="546"/>
      <c r="AF101" s="550">
        <v>8.5000000000000006E-2</v>
      </c>
      <c r="AG101" s="550">
        <v>0.06</v>
      </c>
      <c r="AH101" s="551">
        <v>1</v>
      </c>
      <c r="AI101" s="566">
        <v>0.15</v>
      </c>
      <c r="AJ101" s="1014">
        <f t="shared" ref="AJ101:AJ104" si="12">AI101*1.25</f>
        <v>0.1875</v>
      </c>
      <c r="AM101" s="566"/>
      <c r="AN101" s="914"/>
      <c r="AO101" s="97">
        <v>1.0589999999999999</v>
      </c>
      <c r="AP101" s="97">
        <v>2.5640000000000001</v>
      </c>
      <c r="AQ101" s="97">
        <v>0</v>
      </c>
      <c r="AR101" s="97">
        <v>2.3E-3</v>
      </c>
      <c r="AS101" s="915">
        <v>5.3E-3</v>
      </c>
      <c r="AU101" s="857" t="s">
        <v>980</v>
      </c>
      <c r="AV101" s="856" t="s">
        <v>1002</v>
      </c>
      <c r="AX101" s="864" t="s">
        <v>1017</v>
      </c>
      <c r="AY101" s="865" t="s">
        <v>894</v>
      </c>
    </row>
    <row r="102" spans="18:56">
      <c r="R102" s="2" t="s">
        <v>1612</v>
      </c>
      <c r="S102" s="844">
        <v>0.08</v>
      </c>
      <c r="T102" s="515">
        <v>0.92200000000000004</v>
      </c>
      <c r="U102" s="515">
        <v>0.85699999999999998</v>
      </c>
      <c r="V102" s="877">
        <v>0.98599999999999999</v>
      </c>
      <c r="W102" s="877">
        <v>0.89600000000000002</v>
      </c>
      <c r="Y102" t="s">
        <v>1785</v>
      </c>
      <c r="Z102" s="742" t="s">
        <v>1788</v>
      </c>
      <c r="AA102" s="511"/>
      <c r="AB102" s="547" t="s">
        <v>1793</v>
      </c>
      <c r="AC102" s="743">
        <v>0.82199999999999995</v>
      </c>
      <c r="AD102" s="546"/>
      <c r="AE102" s="100"/>
      <c r="AF102" s="550">
        <v>8.5000000000000006E-2</v>
      </c>
      <c r="AG102" s="550">
        <v>0.06</v>
      </c>
      <c r="AH102" s="551">
        <v>1</v>
      </c>
      <c r="AI102" s="566">
        <v>0.5</v>
      </c>
      <c r="AJ102" s="1014">
        <f t="shared" si="12"/>
        <v>0.625</v>
      </c>
      <c r="AM102" s="566"/>
      <c r="AN102" s="914"/>
      <c r="AO102" s="97">
        <v>1.0589999999999999</v>
      </c>
      <c r="AP102" s="97">
        <v>2.5640000000000001</v>
      </c>
      <c r="AQ102" s="97">
        <v>0</v>
      </c>
      <c r="AR102" s="97">
        <v>2.3E-3</v>
      </c>
      <c r="AS102" s="915">
        <v>5.3E-3</v>
      </c>
      <c r="AU102" s="857" t="s">
        <v>1003</v>
      </c>
      <c r="AV102" s="856" t="s">
        <v>1004</v>
      </c>
      <c r="AX102" s="864" t="s">
        <v>1018</v>
      </c>
      <c r="AY102" s="865" t="s">
        <v>919</v>
      </c>
    </row>
    <row r="103" spans="18:56">
      <c r="R103" s="2" t="s">
        <v>1612</v>
      </c>
      <c r="S103" s="844">
        <v>0.09</v>
      </c>
      <c r="T103" s="878">
        <f t="shared" ref="T103:W108" si="13">((($S103-$S$102)*(T$109-T$102))/($S$109-$S$102))+T$102</f>
        <v>0.92</v>
      </c>
      <c r="U103" s="878">
        <f t="shared" si="13"/>
        <v>0.85299999999999998</v>
      </c>
      <c r="V103" s="878">
        <f t="shared" si="13"/>
        <v>0.98328571428571432</v>
      </c>
      <c r="W103" s="879">
        <f t="shared" si="13"/>
        <v>0.89128571428571435</v>
      </c>
      <c r="Y103" t="s">
        <v>1785</v>
      </c>
      <c r="Z103" s="744" t="s">
        <v>1789</v>
      </c>
      <c r="AA103" s="511"/>
      <c r="AB103" s="511" t="s">
        <v>1794</v>
      </c>
      <c r="AC103" s="548">
        <v>0.8</v>
      </c>
      <c r="AD103" s="100"/>
      <c r="AE103" s="100"/>
      <c r="AF103" s="550">
        <v>8.5000000000000006E-2</v>
      </c>
      <c r="AG103" s="550">
        <v>0.06</v>
      </c>
      <c r="AH103" s="551">
        <v>1</v>
      </c>
      <c r="AI103" s="567">
        <v>500</v>
      </c>
      <c r="AJ103" s="1014">
        <f t="shared" si="12"/>
        <v>625</v>
      </c>
      <c r="AM103" s="567"/>
      <c r="AN103" s="914"/>
      <c r="AO103" s="97">
        <v>1.0589999999999999</v>
      </c>
      <c r="AP103" s="97">
        <v>2.5640000000000001</v>
      </c>
      <c r="AQ103" s="97">
        <v>0</v>
      </c>
      <c r="AR103" s="97">
        <v>2.3E-3</v>
      </c>
      <c r="AS103" s="915">
        <v>5.3E-3</v>
      </c>
      <c r="AU103" s="857" t="s">
        <v>924</v>
      </c>
      <c r="AV103" s="856" t="s">
        <v>216</v>
      </c>
      <c r="AX103" s="864" t="s">
        <v>1019</v>
      </c>
      <c r="AY103" s="865" t="s">
        <v>898</v>
      </c>
    </row>
    <row r="104" spans="18:56">
      <c r="R104" s="2" t="s">
        <v>1612</v>
      </c>
      <c r="S104" s="844">
        <v>0.1</v>
      </c>
      <c r="T104" s="878">
        <f t="shared" si="13"/>
        <v>0.91800000000000004</v>
      </c>
      <c r="U104" s="878">
        <f t="shared" si="13"/>
        <v>0.84899999999999998</v>
      </c>
      <c r="V104" s="878">
        <f t="shared" si="13"/>
        <v>0.98057142857142854</v>
      </c>
      <c r="W104" s="879">
        <f t="shared" si="13"/>
        <v>0.88657142857142857</v>
      </c>
      <c r="Y104" t="s">
        <v>1785</v>
      </c>
      <c r="Z104" s="745" t="s">
        <v>1790</v>
      </c>
      <c r="AA104" s="511"/>
      <c r="AB104" s="511" t="s">
        <v>1795</v>
      </c>
      <c r="AC104" s="548">
        <v>1</v>
      </c>
      <c r="AD104" s="100"/>
      <c r="AE104" s="100"/>
      <c r="AF104" s="550">
        <v>8.5000000000000006E-2</v>
      </c>
      <c r="AG104" s="550">
        <v>0.06</v>
      </c>
      <c r="AH104" s="551">
        <v>1</v>
      </c>
      <c r="AI104" s="567">
        <v>10</v>
      </c>
      <c r="AJ104" s="1014">
        <f t="shared" si="12"/>
        <v>12.5</v>
      </c>
      <c r="AM104" s="567"/>
      <c r="AN104" s="914"/>
      <c r="AO104" s="97">
        <v>1.0589999999999999</v>
      </c>
      <c r="AP104" s="97">
        <v>2.5640000000000001</v>
      </c>
      <c r="AQ104" s="97">
        <v>0</v>
      </c>
      <c r="AR104" s="97">
        <v>2.3E-3</v>
      </c>
      <c r="AS104" s="915">
        <v>5.3E-3</v>
      </c>
      <c r="AU104" s="869" t="s">
        <v>1005</v>
      </c>
      <c r="AV104" s="870" t="s">
        <v>1006</v>
      </c>
      <c r="AW104" s="98"/>
      <c r="AX104" s="871" t="s">
        <v>924</v>
      </c>
      <c r="AY104" s="872" t="s">
        <v>892</v>
      </c>
    </row>
    <row r="105" spans="18:56">
      <c r="R105" s="2" t="s">
        <v>1612</v>
      </c>
      <c r="S105" s="844">
        <v>0.11</v>
      </c>
      <c r="T105" s="878">
        <f t="shared" si="13"/>
        <v>0.91600000000000004</v>
      </c>
      <c r="U105" s="878">
        <f t="shared" si="13"/>
        <v>0.84499999999999997</v>
      </c>
      <c r="V105" s="878">
        <f t="shared" si="13"/>
        <v>0.97785714285714287</v>
      </c>
      <c r="W105" s="879">
        <f t="shared" si="13"/>
        <v>0.88185714285714289</v>
      </c>
      <c r="AN105" s="914"/>
      <c r="AO105" s="97">
        <v>1.0589999999999999</v>
      </c>
      <c r="AP105" s="97">
        <v>2.5640000000000001</v>
      </c>
      <c r="AQ105" s="97">
        <v>0</v>
      </c>
      <c r="AR105" s="97">
        <v>2.3E-3</v>
      </c>
      <c r="AS105" s="915">
        <v>5.3E-3</v>
      </c>
    </row>
    <row r="106" spans="18:56">
      <c r="R106" s="2" t="s">
        <v>1612</v>
      </c>
      <c r="S106" s="844">
        <v>0.12</v>
      </c>
      <c r="T106" s="878">
        <f t="shared" si="13"/>
        <v>0.91400000000000003</v>
      </c>
      <c r="U106" s="878">
        <f t="shared" si="13"/>
        <v>0.84099999999999997</v>
      </c>
      <c r="V106" s="878">
        <f t="shared" si="13"/>
        <v>0.97514285714285709</v>
      </c>
      <c r="W106" s="879">
        <f t="shared" si="13"/>
        <v>0.87714285714285711</v>
      </c>
      <c r="Y106" s="926" t="s">
        <v>2383</v>
      </c>
      <c r="Z106" s="926" t="s">
        <v>2384</v>
      </c>
      <c r="AA106" s="927"/>
      <c r="AB106" s="928"/>
      <c r="AN106" s="914"/>
      <c r="AO106" s="97">
        <v>1.0589999999999999</v>
      </c>
      <c r="AP106" s="97">
        <v>2.5640000000000001</v>
      </c>
      <c r="AQ106" s="97">
        <v>0</v>
      </c>
      <c r="AR106" s="97">
        <v>2.3E-3</v>
      </c>
      <c r="AS106" s="915">
        <v>5.3E-3</v>
      </c>
    </row>
    <row r="107" spans="18:56">
      <c r="R107" s="2" t="s">
        <v>1612</v>
      </c>
      <c r="S107" s="844">
        <v>0.13</v>
      </c>
      <c r="T107" s="878">
        <f t="shared" si="13"/>
        <v>0.91200000000000003</v>
      </c>
      <c r="U107" s="878">
        <f t="shared" si="13"/>
        <v>0.83699999999999997</v>
      </c>
      <c r="V107" s="878">
        <f t="shared" si="13"/>
        <v>0.97242857142857142</v>
      </c>
      <c r="W107" s="879">
        <f t="shared" si="13"/>
        <v>0.87242857142857144</v>
      </c>
      <c r="Y107" s="929">
        <v>18</v>
      </c>
      <c r="Z107" s="929" t="s">
        <v>2385</v>
      </c>
      <c r="AA107" s="930"/>
      <c r="AB107" s="931"/>
      <c r="AN107" s="916"/>
      <c r="AO107" s="97">
        <v>0</v>
      </c>
      <c r="AP107" s="831">
        <v>1.1000000000000001</v>
      </c>
      <c r="AQ107" s="875">
        <v>3.5000000000000003E-2</v>
      </c>
      <c r="AR107" s="876">
        <v>0</v>
      </c>
      <c r="AS107" s="917">
        <v>0</v>
      </c>
      <c r="AV107" s="398" t="s">
        <v>1272</v>
      </c>
      <c r="AW107" s="398" t="s">
        <v>145</v>
      </c>
      <c r="AX107" s="398" t="s">
        <v>401</v>
      </c>
      <c r="AY107" s="398" t="s">
        <v>33</v>
      </c>
      <c r="AZ107" s="398" t="s">
        <v>34</v>
      </c>
      <c r="BA107" s="398"/>
      <c r="BB107" s="398"/>
      <c r="BC107" s="398"/>
      <c r="BD107" s="398"/>
    </row>
    <row r="108" spans="18:56">
      <c r="R108" s="2" t="s">
        <v>1612</v>
      </c>
      <c r="S108" s="844">
        <v>0.14000000000000001</v>
      </c>
      <c r="T108" s="878">
        <f t="shared" si="13"/>
        <v>0.91</v>
      </c>
      <c r="U108" s="878">
        <f t="shared" si="13"/>
        <v>0.83299999999999996</v>
      </c>
      <c r="V108" s="878">
        <f t="shared" si="13"/>
        <v>0.96971428571428564</v>
      </c>
      <c r="W108" s="879">
        <f t="shared" si="13"/>
        <v>0.86771428571428566</v>
      </c>
      <c r="Y108" s="932"/>
      <c r="Z108" s="930"/>
      <c r="AA108" s="930"/>
      <c r="AB108" s="931"/>
      <c r="AN108" s="916"/>
      <c r="AO108" s="97">
        <v>0</v>
      </c>
      <c r="AP108" s="831">
        <v>1.1000000000000001</v>
      </c>
      <c r="AQ108" s="875">
        <v>3.5000000000000003E-2</v>
      </c>
      <c r="AR108" s="876">
        <v>0</v>
      </c>
      <c r="AS108" s="917">
        <v>0</v>
      </c>
      <c r="AV108" t="s">
        <v>1271</v>
      </c>
      <c r="AW108" t="s">
        <v>1259</v>
      </c>
      <c r="AX108" t="s">
        <v>1269</v>
      </c>
      <c r="AY108" t="s">
        <v>1269</v>
      </c>
      <c r="AZ108" t="s">
        <v>1270</v>
      </c>
    </row>
    <row r="109" spans="18:56" ht="29">
      <c r="R109" s="2" t="s">
        <v>1612</v>
      </c>
      <c r="S109" s="844">
        <v>0.15</v>
      </c>
      <c r="T109" s="515">
        <v>0.90800000000000003</v>
      </c>
      <c r="U109" s="515">
        <v>0.82899999999999996</v>
      </c>
      <c r="V109" s="877">
        <v>0.96699999999999997</v>
      </c>
      <c r="W109" s="877">
        <v>0.86299999999999999</v>
      </c>
      <c r="Y109" s="926" t="s">
        <v>2386</v>
      </c>
      <c r="Z109" s="933" t="s">
        <v>2387</v>
      </c>
      <c r="AA109" s="934"/>
      <c r="AB109" s="935"/>
      <c r="AN109" s="916"/>
      <c r="AO109" s="97">
        <v>0</v>
      </c>
      <c r="AP109" s="831">
        <v>1.1000000000000001</v>
      </c>
      <c r="AQ109" s="875">
        <v>3.5000000000000003E-2</v>
      </c>
      <c r="AR109" s="876">
        <v>0</v>
      </c>
      <c r="AS109" s="917">
        <v>0</v>
      </c>
    </row>
    <row r="110" spans="18:56">
      <c r="R110" s="2" t="s">
        <v>1612</v>
      </c>
      <c r="S110" s="844">
        <v>0.16</v>
      </c>
      <c r="T110" s="881">
        <f t="shared" ref="T110:W113" si="14">((($S110-$S$109)*(T$114-T$109))/($S$114-$S$109))+T$109</f>
        <v>0.90580000000000005</v>
      </c>
      <c r="U110" s="881">
        <f t="shared" si="14"/>
        <v>0.82519999999999993</v>
      </c>
      <c r="V110" s="881">
        <f t="shared" si="14"/>
        <v>0.96439999999999992</v>
      </c>
      <c r="W110" s="882">
        <f t="shared" si="14"/>
        <v>0.85860000000000003</v>
      </c>
      <c r="Y110" s="932"/>
      <c r="Z110" s="936"/>
      <c r="AA110" s="934"/>
      <c r="AB110" s="935"/>
      <c r="AN110" s="916"/>
      <c r="AO110" s="97">
        <v>0</v>
      </c>
      <c r="AP110" s="846">
        <v>7.6929999999999996</v>
      </c>
      <c r="AQ110" s="876">
        <v>0</v>
      </c>
      <c r="AR110" s="876">
        <v>0</v>
      </c>
      <c r="AS110" s="918">
        <v>1.5800000000000002E-2</v>
      </c>
    </row>
    <row r="111" spans="18:56">
      <c r="R111" s="2" t="s">
        <v>1612</v>
      </c>
      <c r="S111" s="844">
        <v>0.17</v>
      </c>
      <c r="T111" s="881">
        <f t="shared" si="14"/>
        <v>0.90360000000000007</v>
      </c>
      <c r="U111" s="881">
        <f t="shared" si="14"/>
        <v>0.82140000000000002</v>
      </c>
      <c r="V111" s="881">
        <f t="shared" si="14"/>
        <v>0.96179999999999999</v>
      </c>
      <c r="W111" s="882">
        <f t="shared" si="14"/>
        <v>0.85419999999999996</v>
      </c>
      <c r="Y111" s="932"/>
      <c r="Z111" s="936"/>
      <c r="AA111" s="934"/>
      <c r="AB111" s="935"/>
      <c r="AN111" s="916"/>
      <c r="AO111" s="97">
        <v>0</v>
      </c>
      <c r="AP111" s="846">
        <v>0</v>
      </c>
      <c r="AQ111" s="876">
        <v>0</v>
      </c>
      <c r="AR111" s="876">
        <v>0</v>
      </c>
      <c r="AS111" s="917">
        <v>0</v>
      </c>
    </row>
    <row r="112" spans="18:56">
      <c r="R112" s="2" t="s">
        <v>1612</v>
      </c>
      <c r="S112" s="844">
        <v>0.18</v>
      </c>
      <c r="T112" s="881">
        <f t="shared" si="14"/>
        <v>0.90139999999999998</v>
      </c>
      <c r="U112" s="881">
        <f t="shared" si="14"/>
        <v>0.81759999999999999</v>
      </c>
      <c r="V112" s="881">
        <f t="shared" si="14"/>
        <v>0.95919999999999994</v>
      </c>
      <c r="W112" s="882">
        <f t="shared" si="14"/>
        <v>0.8498</v>
      </c>
      <c r="Y112" s="1277" t="s">
        <v>2388</v>
      </c>
      <c r="Z112" s="1278"/>
      <c r="AA112" s="1278"/>
      <c r="AB112" s="1279"/>
      <c r="AN112" s="916"/>
      <c r="AO112" s="97">
        <v>0</v>
      </c>
      <c r="AP112" s="846">
        <v>0</v>
      </c>
      <c r="AQ112" s="876">
        <v>0</v>
      </c>
      <c r="AR112" s="876">
        <v>0</v>
      </c>
      <c r="AS112" s="917">
        <v>0</v>
      </c>
    </row>
    <row r="113" spans="18:53">
      <c r="R113" s="2" t="s">
        <v>1612</v>
      </c>
      <c r="S113" s="844">
        <v>0.19</v>
      </c>
      <c r="T113" s="881">
        <f t="shared" si="14"/>
        <v>0.8992</v>
      </c>
      <c r="U113" s="881">
        <f t="shared" si="14"/>
        <v>0.81380000000000008</v>
      </c>
      <c r="V113" s="881">
        <f t="shared" si="14"/>
        <v>0.95660000000000001</v>
      </c>
      <c r="W113" s="882">
        <f t="shared" si="14"/>
        <v>0.84539999999999993</v>
      </c>
      <c r="Y113" s="937" t="s">
        <v>433</v>
      </c>
      <c r="Z113" s="937" t="s">
        <v>2389</v>
      </c>
      <c r="AA113" s="1277" t="s">
        <v>2390</v>
      </c>
      <c r="AB113" s="1279"/>
      <c r="AN113" s="916"/>
      <c r="AO113" s="97">
        <v>0</v>
      </c>
      <c r="AP113" s="846">
        <v>0</v>
      </c>
      <c r="AQ113" s="876">
        <v>0</v>
      </c>
      <c r="AR113" s="876">
        <v>0</v>
      </c>
      <c r="AS113" s="917">
        <v>0</v>
      </c>
    </row>
    <row r="114" spans="18:53">
      <c r="R114" s="2" t="s">
        <v>1612</v>
      </c>
      <c r="S114" s="844">
        <v>0.2</v>
      </c>
      <c r="T114" s="515">
        <v>0.89700000000000002</v>
      </c>
      <c r="U114" s="515">
        <v>0.81</v>
      </c>
      <c r="V114" s="877">
        <v>0.95399999999999996</v>
      </c>
      <c r="W114" s="877">
        <v>0.84099999999999997</v>
      </c>
      <c r="Y114" s="1280" t="s">
        <v>2391</v>
      </c>
      <c r="Z114" s="938" t="s">
        <v>201</v>
      </c>
      <c r="AA114" s="1283" t="s">
        <v>2392</v>
      </c>
      <c r="AB114" s="1284"/>
      <c r="AN114" s="916"/>
      <c r="AO114" s="97">
        <v>0</v>
      </c>
      <c r="AP114" s="846">
        <v>0</v>
      </c>
      <c r="AQ114" s="876">
        <v>0</v>
      </c>
      <c r="AR114" s="876">
        <v>0</v>
      </c>
      <c r="AS114" s="917">
        <v>0</v>
      </c>
    </row>
    <row r="115" spans="18:53" ht="16.5">
      <c r="R115" s="2" t="s">
        <v>1612</v>
      </c>
      <c r="S115" s="844">
        <v>0.21</v>
      </c>
      <c r="T115" s="878">
        <f t="shared" ref="T115:W118" si="15">((($S115-$S$114)*(T$119-T$114))/($S$119-$S$114))+T$114</f>
        <v>0.89480000000000004</v>
      </c>
      <c r="U115" s="878">
        <f t="shared" si="15"/>
        <v>0.80660000000000009</v>
      </c>
      <c r="V115" s="878">
        <f t="shared" si="15"/>
        <v>0.95099999999999996</v>
      </c>
      <c r="W115" s="879">
        <f t="shared" si="15"/>
        <v>0.83699999999999997</v>
      </c>
      <c r="Y115" s="1281"/>
      <c r="Z115" s="938" t="s">
        <v>2393</v>
      </c>
      <c r="AA115" s="1283" t="s">
        <v>2394</v>
      </c>
      <c r="AB115" s="1284"/>
      <c r="AN115" s="916"/>
      <c r="AO115" s="97">
        <v>0</v>
      </c>
      <c r="AP115" s="846">
        <v>0</v>
      </c>
      <c r="AQ115" s="876">
        <v>0</v>
      </c>
      <c r="AR115" s="876">
        <v>0</v>
      </c>
      <c r="AS115" s="917">
        <v>0</v>
      </c>
      <c r="AV115" t="s">
        <v>833</v>
      </c>
      <c r="AW115" t="s">
        <v>1260</v>
      </c>
      <c r="AX115" t="s">
        <v>1269</v>
      </c>
      <c r="AY115" t="s">
        <v>1269</v>
      </c>
      <c r="AZ115" t="s">
        <v>1270</v>
      </c>
    </row>
    <row r="116" spans="18:53" ht="16.5">
      <c r="R116" s="2" t="s">
        <v>1612</v>
      </c>
      <c r="S116" s="844">
        <v>0.22</v>
      </c>
      <c r="T116" s="878">
        <f t="shared" si="15"/>
        <v>0.89260000000000006</v>
      </c>
      <c r="U116" s="878">
        <f t="shared" si="15"/>
        <v>0.80320000000000003</v>
      </c>
      <c r="V116" s="878">
        <f t="shared" si="15"/>
        <v>0.94799999999999995</v>
      </c>
      <c r="W116" s="879">
        <f t="shared" si="15"/>
        <v>0.83299999999999996</v>
      </c>
      <c r="Y116" s="1281"/>
      <c r="Z116" s="938" t="s">
        <v>2395</v>
      </c>
      <c r="AA116" s="1283" t="s">
        <v>2396</v>
      </c>
      <c r="AB116" s="1284"/>
      <c r="AN116" s="916"/>
      <c r="AO116" s="97">
        <v>0</v>
      </c>
      <c r="AP116" s="846">
        <v>0</v>
      </c>
      <c r="AQ116" s="876">
        <v>0</v>
      </c>
      <c r="AR116" s="876">
        <v>0</v>
      </c>
      <c r="AS116" s="917">
        <v>0</v>
      </c>
      <c r="AV116" t="s">
        <v>832</v>
      </c>
      <c r="AW116" t="s">
        <v>1261</v>
      </c>
      <c r="AX116" t="s">
        <v>1269</v>
      </c>
      <c r="AY116" t="s">
        <v>1269</v>
      </c>
      <c r="AZ116" t="s">
        <v>1270</v>
      </c>
    </row>
    <row r="117" spans="18:53" ht="15" thickBot="1">
      <c r="R117" s="2" t="s">
        <v>1612</v>
      </c>
      <c r="S117" s="844">
        <v>0.23</v>
      </c>
      <c r="T117" s="878">
        <f t="shared" si="15"/>
        <v>0.89039999999999997</v>
      </c>
      <c r="U117" s="878">
        <f t="shared" si="15"/>
        <v>0.79980000000000007</v>
      </c>
      <c r="V117" s="878">
        <f t="shared" si="15"/>
        <v>0.94499999999999995</v>
      </c>
      <c r="W117" s="879">
        <f t="shared" si="15"/>
        <v>0.82899999999999996</v>
      </c>
      <c r="Y117" s="1281"/>
      <c r="Z117" s="938" t="s">
        <v>2397</v>
      </c>
      <c r="AA117" s="1283" t="s">
        <v>2398</v>
      </c>
      <c r="AB117" s="1284"/>
      <c r="AN117" s="919"/>
      <c r="AO117" s="920">
        <v>0</v>
      </c>
      <c r="AP117" s="921">
        <v>0</v>
      </c>
      <c r="AQ117" s="922">
        <v>0</v>
      </c>
      <c r="AR117" s="922">
        <v>0</v>
      </c>
      <c r="AS117" s="923">
        <v>0</v>
      </c>
      <c r="AV117" t="s">
        <v>1049</v>
      </c>
      <c r="AW117" t="s">
        <v>1262</v>
      </c>
      <c r="AX117" t="s">
        <v>1269</v>
      </c>
      <c r="AY117" t="s">
        <v>1269</v>
      </c>
      <c r="AZ117" t="s">
        <v>1270</v>
      </c>
    </row>
    <row r="118" spans="18:53" ht="16.5">
      <c r="R118" s="2" t="s">
        <v>1612</v>
      </c>
      <c r="S118" s="844">
        <v>0.24</v>
      </c>
      <c r="T118" s="878">
        <f t="shared" si="15"/>
        <v>0.88819999999999999</v>
      </c>
      <c r="U118" s="878">
        <f t="shared" si="15"/>
        <v>0.7964</v>
      </c>
      <c r="V118" s="878">
        <f t="shared" si="15"/>
        <v>0.94199999999999995</v>
      </c>
      <c r="W118" s="879">
        <f t="shared" si="15"/>
        <v>0.82499999999999996</v>
      </c>
      <c r="Y118" s="1281"/>
      <c r="Z118" s="938" t="s">
        <v>2399</v>
      </c>
      <c r="AA118" s="1285" t="s">
        <v>2400</v>
      </c>
      <c r="AB118" s="1286"/>
      <c r="AV118" t="s">
        <v>1149</v>
      </c>
      <c r="AW118" t="s">
        <v>1263</v>
      </c>
      <c r="AX118" t="s">
        <v>1269</v>
      </c>
      <c r="AY118" t="s">
        <v>1269</v>
      </c>
      <c r="AZ118" t="s">
        <v>1270</v>
      </c>
    </row>
    <row r="119" spans="18:53" ht="16.5">
      <c r="R119" s="2" t="s">
        <v>1612</v>
      </c>
      <c r="S119" s="844">
        <v>0.25</v>
      </c>
      <c r="T119" s="515">
        <v>0.88600000000000001</v>
      </c>
      <c r="U119" s="515">
        <v>0.79300000000000004</v>
      </c>
      <c r="V119" s="877">
        <v>0.93899999999999995</v>
      </c>
      <c r="W119" s="877">
        <v>0.82099999999999995</v>
      </c>
      <c r="Y119" s="1281"/>
      <c r="Z119" s="938" t="s">
        <v>2401</v>
      </c>
      <c r="AA119" s="1283" t="s">
        <v>2402</v>
      </c>
      <c r="AB119" s="1284"/>
      <c r="AW119" t="s">
        <v>1264</v>
      </c>
      <c r="AX119" t="s">
        <v>1269</v>
      </c>
      <c r="AY119" t="s">
        <v>1269</v>
      </c>
      <c r="AZ119" t="s">
        <v>1274</v>
      </c>
    </row>
    <row r="120" spans="18:53" ht="16.5">
      <c r="R120" s="2" t="s">
        <v>1612</v>
      </c>
      <c r="S120" s="844">
        <v>0.26</v>
      </c>
      <c r="T120" s="878">
        <f t="shared" ref="T120:W123" si="16">((($S120-$S$119)*(T$124-T$119))/($S$124-$S$119))+T$119</f>
        <v>0.88339999999999996</v>
      </c>
      <c r="U120" s="878">
        <f t="shared" si="16"/>
        <v>0.78960000000000008</v>
      </c>
      <c r="V120" s="878">
        <f t="shared" si="16"/>
        <v>0.93599999999999994</v>
      </c>
      <c r="W120" s="879">
        <f t="shared" si="16"/>
        <v>0.81699999999999995</v>
      </c>
      <c r="Y120" s="1282"/>
      <c r="Z120" s="938" t="s">
        <v>2403</v>
      </c>
      <c r="AA120" s="1287" t="s">
        <v>2404</v>
      </c>
      <c r="AB120" s="1288"/>
      <c r="AN120" s="1262" t="s">
        <v>1081</v>
      </c>
      <c r="AO120" s="1262" t="s">
        <v>1076</v>
      </c>
      <c r="AP120" s="1262" t="s">
        <v>1077</v>
      </c>
      <c r="AQ120" s="1296" t="s">
        <v>1078</v>
      </c>
      <c r="AS120" s="1293" t="s">
        <v>1169</v>
      </c>
      <c r="AT120" s="1294"/>
      <c r="AV120" t="s">
        <v>841</v>
      </c>
      <c r="AW120" t="s">
        <v>1265</v>
      </c>
      <c r="AX120" t="s">
        <v>1269</v>
      </c>
      <c r="AY120" t="s">
        <v>1269</v>
      </c>
      <c r="AZ120" t="s">
        <v>1275</v>
      </c>
      <c r="BA120" s="121"/>
    </row>
    <row r="121" spans="18:53">
      <c r="R121" s="2" t="s">
        <v>1612</v>
      </c>
      <c r="S121" s="844">
        <v>0.27</v>
      </c>
      <c r="T121" s="878">
        <f t="shared" si="16"/>
        <v>0.88080000000000003</v>
      </c>
      <c r="U121" s="878">
        <f t="shared" si="16"/>
        <v>0.78620000000000001</v>
      </c>
      <c r="V121" s="878">
        <f t="shared" si="16"/>
        <v>0.93299999999999994</v>
      </c>
      <c r="W121" s="879">
        <f t="shared" si="16"/>
        <v>0.81299999999999994</v>
      </c>
      <c r="Y121" s="939"/>
      <c r="Z121" s="940"/>
      <c r="AA121" s="939"/>
      <c r="AB121" s="939"/>
      <c r="AN121" s="1263" t="s">
        <v>1080</v>
      </c>
      <c r="AO121" s="1263" t="s">
        <v>1076</v>
      </c>
      <c r="AP121" s="1263" t="s">
        <v>1077</v>
      </c>
      <c r="AQ121" s="1297" t="s">
        <v>1078</v>
      </c>
      <c r="AS121" s="805" t="s">
        <v>1170</v>
      </c>
      <c r="AT121" s="93">
        <v>19</v>
      </c>
      <c r="AV121" t="s">
        <v>839</v>
      </c>
      <c r="AW121" t="s">
        <v>1266</v>
      </c>
      <c r="AX121" t="s">
        <v>1269</v>
      </c>
      <c r="AY121" t="s">
        <v>1269</v>
      </c>
      <c r="AZ121" t="s">
        <v>1275</v>
      </c>
    </row>
    <row r="122" spans="18:53">
      <c r="R122" s="2" t="s">
        <v>1612</v>
      </c>
      <c r="S122" s="844">
        <v>0.28000000000000003</v>
      </c>
      <c r="T122" s="878">
        <f t="shared" si="16"/>
        <v>0.87819999999999998</v>
      </c>
      <c r="U122" s="878">
        <f t="shared" si="16"/>
        <v>0.78280000000000005</v>
      </c>
      <c r="V122" s="878">
        <f t="shared" si="16"/>
        <v>0.92999999999999994</v>
      </c>
      <c r="W122" s="879">
        <f t="shared" si="16"/>
        <v>0.80899999999999994</v>
      </c>
      <c r="Y122" s="941"/>
      <c r="Z122" s="941"/>
      <c r="AA122" s="941"/>
      <c r="AB122" s="941"/>
      <c r="AN122" s="2" t="s">
        <v>1173</v>
      </c>
      <c r="AO122" s="2">
        <v>2.2999999999999998</v>
      </c>
      <c r="AP122" s="2">
        <v>4.0000000000000001E-3</v>
      </c>
      <c r="AQ122" s="256">
        <v>1.7</v>
      </c>
      <c r="AS122" s="827" t="s">
        <v>1171</v>
      </c>
      <c r="AT122" s="94">
        <v>0.9</v>
      </c>
      <c r="AU122" s="415"/>
      <c r="AV122" t="s">
        <v>843</v>
      </c>
      <c r="AW122" t="s">
        <v>1267</v>
      </c>
      <c r="AX122" t="s">
        <v>1269</v>
      </c>
      <c r="AY122" t="s">
        <v>1269</v>
      </c>
      <c r="AZ122" t="s">
        <v>1275</v>
      </c>
    </row>
    <row r="123" spans="18:53">
      <c r="R123" s="2" t="s">
        <v>1612</v>
      </c>
      <c r="S123" s="844">
        <v>0.28999999999999998</v>
      </c>
      <c r="T123" s="878">
        <f t="shared" si="16"/>
        <v>0.87560000000000004</v>
      </c>
      <c r="U123" s="878">
        <f t="shared" si="16"/>
        <v>0.77939999999999998</v>
      </c>
      <c r="V123" s="878">
        <f t="shared" si="16"/>
        <v>0.92700000000000005</v>
      </c>
      <c r="W123" s="879">
        <f t="shared" si="16"/>
        <v>0.80500000000000005</v>
      </c>
      <c r="Y123" s="1264" t="s">
        <v>2405</v>
      </c>
      <c r="Z123" s="1264"/>
      <c r="AA123" s="1264"/>
      <c r="AB123" s="1264"/>
      <c r="AN123" s="2" t="s">
        <v>852</v>
      </c>
      <c r="AO123" s="2">
        <v>21</v>
      </c>
      <c r="AP123" s="2">
        <v>3.0000000000000001E-3</v>
      </c>
      <c r="AQ123" s="256">
        <v>0</v>
      </c>
      <c r="AV123" t="s">
        <v>1239</v>
      </c>
      <c r="AW123" t="s">
        <v>1268</v>
      </c>
      <c r="AX123" t="s">
        <v>1269</v>
      </c>
      <c r="AY123" t="s">
        <v>1269</v>
      </c>
      <c r="AZ123" t="s">
        <v>1275</v>
      </c>
    </row>
    <row r="124" spans="18:53">
      <c r="R124" s="2" t="s">
        <v>1612</v>
      </c>
      <c r="S124" s="844">
        <v>0.3</v>
      </c>
      <c r="T124" s="515">
        <v>0.873</v>
      </c>
      <c r="U124" s="515">
        <v>0.77600000000000002</v>
      </c>
      <c r="V124" s="877">
        <v>0.92400000000000004</v>
      </c>
      <c r="W124" s="877">
        <v>0.80100000000000005</v>
      </c>
      <c r="Y124" s="942" t="s">
        <v>2406</v>
      </c>
      <c r="Z124" s="942" t="s">
        <v>212</v>
      </c>
      <c r="AA124" s="942" t="s">
        <v>2407</v>
      </c>
      <c r="AB124" s="942" t="s">
        <v>2408</v>
      </c>
      <c r="AN124" s="2" t="s">
        <v>1079</v>
      </c>
      <c r="AO124" s="2">
        <v>39.799999999999997</v>
      </c>
      <c r="AP124" s="2">
        <v>4.0000000000000001E-3</v>
      </c>
      <c r="AQ124" s="256">
        <v>0</v>
      </c>
    </row>
    <row r="125" spans="18:53" ht="118">
      <c r="R125" s="2" t="s">
        <v>1616</v>
      </c>
      <c r="S125" s="844">
        <v>0</v>
      </c>
      <c r="T125" s="2">
        <v>0.86599999999999999</v>
      </c>
      <c r="U125" s="2">
        <v>0.76600000000000001</v>
      </c>
      <c r="V125" s="2">
        <v>0.94499999999999995</v>
      </c>
      <c r="W125" s="2">
        <v>0.875</v>
      </c>
      <c r="Y125" s="943" t="s">
        <v>2409</v>
      </c>
      <c r="Z125" s="944">
        <f>71.2-60</f>
        <v>11.200000000000003</v>
      </c>
      <c r="AA125" s="945" t="s">
        <v>77</v>
      </c>
      <c r="AB125" s="924" t="s">
        <v>2410</v>
      </c>
      <c r="AN125" s="2" t="s">
        <v>1487</v>
      </c>
      <c r="AO125" s="2">
        <v>0.8</v>
      </c>
      <c r="AP125" s="2">
        <v>0</v>
      </c>
      <c r="AQ125" s="256">
        <v>1.7</v>
      </c>
    </row>
    <row r="126" spans="18:53" ht="118">
      <c r="R126" s="2" t="s">
        <v>1616</v>
      </c>
      <c r="S126" s="844">
        <v>0.08</v>
      </c>
      <c r="T126" s="515">
        <v>0.86599999999999999</v>
      </c>
      <c r="U126" s="515">
        <v>0.76600000000000001</v>
      </c>
      <c r="V126" s="877">
        <v>0.94499999999999995</v>
      </c>
      <c r="W126" s="877">
        <v>0.875</v>
      </c>
      <c r="Y126" s="943" t="s">
        <v>2411</v>
      </c>
      <c r="Z126" s="944">
        <f>115-37.6</f>
        <v>77.400000000000006</v>
      </c>
      <c r="AA126" s="945" t="s">
        <v>77</v>
      </c>
      <c r="AB126" s="924" t="s">
        <v>2412</v>
      </c>
      <c r="AN126" s="2" t="s">
        <v>709</v>
      </c>
      <c r="AO126" s="2">
        <v>38.4</v>
      </c>
      <c r="AP126" s="2">
        <v>4.0000000000000001E-3</v>
      </c>
      <c r="AQ126" s="256">
        <v>0</v>
      </c>
    </row>
    <row r="127" spans="18:53" ht="31">
      <c r="R127" s="2" t="s">
        <v>1616</v>
      </c>
      <c r="S127" s="844">
        <v>0.09</v>
      </c>
      <c r="T127" s="878">
        <f t="shared" ref="T127:W132" si="17">((($S127-$S$126)*(T$133-T$126))/($S$133-$S$126))+T$126</f>
        <v>0.8641428571428571</v>
      </c>
      <c r="U127" s="878">
        <f t="shared" si="17"/>
        <v>0.76142857142857145</v>
      </c>
      <c r="V127" s="878">
        <f t="shared" si="17"/>
        <v>0.94214285714285706</v>
      </c>
      <c r="W127" s="879">
        <f t="shared" si="17"/>
        <v>0.86785714285714288</v>
      </c>
      <c r="Y127" s="946" t="s">
        <v>2413</v>
      </c>
      <c r="Z127" s="947">
        <v>1.7999999999999999E-2</v>
      </c>
      <c r="AA127" s="948" t="s">
        <v>2414</v>
      </c>
      <c r="AB127" s="949" t="s">
        <v>2415</v>
      </c>
    </row>
    <row r="128" spans="18:53" ht="58">
      <c r="R128" s="2" t="s">
        <v>1616</v>
      </c>
      <c r="S128" s="844">
        <v>0.1</v>
      </c>
      <c r="T128" s="878">
        <f t="shared" si="17"/>
        <v>0.86228571428571432</v>
      </c>
      <c r="U128" s="878">
        <f t="shared" si="17"/>
        <v>0.75685714285714289</v>
      </c>
      <c r="V128" s="878">
        <f t="shared" si="17"/>
        <v>0.93928571428571428</v>
      </c>
      <c r="W128" s="879">
        <f t="shared" si="17"/>
        <v>0.86071428571428565</v>
      </c>
      <c r="Y128" s="946" t="s">
        <v>2416</v>
      </c>
      <c r="Z128" s="944">
        <v>5.2</v>
      </c>
      <c r="AA128" s="948" t="s">
        <v>2417</v>
      </c>
      <c r="AB128" s="949" t="s">
        <v>2415</v>
      </c>
    </row>
    <row r="129" spans="18:57" ht="43.5">
      <c r="R129" s="2" t="s">
        <v>1616</v>
      </c>
      <c r="S129" s="844">
        <v>0.11</v>
      </c>
      <c r="T129" s="878">
        <f t="shared" si="17"/>
        <v>0.86042857142857143</v>
      </c>
      <c r="U129" s="878">
        <f t="shared" si="17"/>
        <v>0.75228571428571434</v>
      </c>
      <c r="V129" s="878">
        <f t="shared" si="17"/>
        <v>0.93642857142857139</v>
      </c>
      <c r="W129" s="879">
        <f t="shared" si="17"/>
        <v>0.85357142857142854</v>
      </c>
      <c r="Y129" s="946" t="s">
        <v>2418</v>
      </c>
      <c r="Z129" s="950" t="s">
        <v>2419</v>
      </c>
      <c r="AA129" s="951" t="s">
        <v>1775</v>
      </c>
      <c r="AB129" s="946" t="s">
        <v>2420</v>
      </c>
      <c r="AN129" s="431" t="s">
        <v>1131</v>
      </c>
    </row>
    <row r="130" spans="18:57" ht="43.5">
      <c r="R130" s="2" t="s">
        <v>1616</v>
      </c>
      <c r="S130" s="844">
        <v>0.12</v>
      </c>
      <c r="T130" s="878">
        <f t="shared" si="17"/>
        <v>0.85857142857142854</v>
      </c>
      <c r="U130" s="878">
        <f t="shared" si="17"/>
        <v>0.74771428571428566</v>
      </c>
      <c r="V130" s="878">
        <f t="shared" si="17"/>
        <v>0.93357142857142861</v>
      </c>
      <c r="W130" s="879">
        <f t="shared" si="17"/>
        <v>0.84642857142857142</v>
      </c>
      <c r="Y130" s="946" t="s">
        <v>2421</v>
      </c>
      <c r="Z130" s="952" t="s">
        <v>2419</v>
      </c>
      <c r="AA130" s="951" t="s">
        <v>1775</v>
      </c>
      <c r="AB130" s="946" t="s">
        <v>2420</v>
      </c>
      <c r="AN130" s="2" t="s">
        <v>1082</v>
      </c>
      <c r="AO130" s="1291">
        <v>0</v>
      </c>
      <c r="AP130" s="1291"/>
      <c r="AQ130" s="1291"/>
      <c r="AR130" s="1291">
        <v>11</v>
      </c>
      <c r="AS130" s="1291"/>
      <c r="AT130" s="1291"/>
      <c r="AU130" s="1291">
        <v>13</v>
      </c>
      <c r="AV130" s="1291"/>
      <c r="AW130" s="1291"/>
      <c r="AX130" s="1291">
        <v>17</v>
      </c>
      <c r="AY130" s="1291"/>
      <c r="AZ130" s="1291"/>
      <c r="BA130" s="1291">
        <v>19</v>
      </c>
      <c r="BB130" s="1291"/>
      <c r="BC130" s="1291"/>
    </row>
    <row r="131" spans="18:57" ht="31">
      <c r="R131" s="2" t="s">
        <v>1616</v>
      </c>
      <c r="S131" s="844">
        <v>0.13</v>
      </c>
      <c r="T131" s="878">
        <f t="shared" si="17"/>
        <v>0.85671428571428565</v>
      </c>
      <c r="U131" s="878">
        <f t="shared" si="17"/>
        <v>0.74314285714285711</v>
      </c>
      <c r="V131" s="878">
        <f t="shared" si="17"/>
        <v>0.93071428571428572</v>
      </c>
      <c r="W131" s="879">
        <f t="shared" si="17"/>
        <v>0.8392857142857143</v>
      </c>
      <c r="Y131" s="946" t="s">
        <v>2422</v>
      </c>
      <c r="Z131" s="952" t="s">
        <v>2423</v>
      </c>
      <c r="AA131" s="951" t="s">
        <v>2424</v>
      </c>
      <c r="AB131" s="949" t="s">
        <v>2415</v>
      </c>
      <c r="AN131" s="2" t="s">
        <v>1083</v>
      </c>
      <c r="AO131" s="2" t="s">
        <v>1084</v>
      </c>
      <c r="AP131" s="2" t="s">
        <v>1085</v>
      </c>
      <c r="AQ131" s="2" t="s">
        <v>1086</v>
      </c>
      <c r="AR131" s="2" t="s">
        <v>1084</v>
      </c>
      <c r="AS131" s="2" t="s">
        <v>1085</v>
      </c>
      <c r="AT131" s="2" t="s">
        <v>1086</v>
      </c>
      <c r="AU131" s="2" t="s">
        <v>1084</v>
      </c>
      <c r="AV131" s="2" t="s">
        <v>1085</v>
      </c>
      <c r="AW131" s="2" t="s">
        <v>1086</v>
      </c>
      <c r="AX131" s="2" t="s">
        <v>1084</v>
      </c>
      <c r="AY131" s="2" t="s">
        <v>1085</v>
      </c>
      <c r="AZ131" s="2" t="s">
        <v>1086</v>
      </c>
      <c r="BA131" s="2" t="s">
        <v>1084</v>
      </c>
      <c r="BB131" s="2" t="s">
        <v>1085</v>
      </c>
      <c r="BC131" s="2" t="s">
        <v>1086</v>
      </c>
      <c r="BD131" s="806"/>
      <c r="BE131" s="806"/>
    </row>
    <row r="132" spans="18:57" ht="45.5">
      <c r="R132" s="2" t="s">
        <v>1616</v>
      </c>
      <c r="S132" s="844">
        <v>0.14000000000000001</v>
      </c>
      <c r="T132" s="878">
        <f t="shared" si="17"/>
        <v>0.85485714285714287</v>
      </c>
      <c r="U132" s="878">
        <f t="shared" si="17"/>
        <v>0.73857142857142855</v>
      </c>
      <c r="V132" s="878">
        <f t="shared" si="17"/>
        <v>0.92785714285714294</v>
      </c>
      <c r="W132" s="879">
        <f t="shared" si="17"/>
        <v>0.83214285714285707</v>
      </c>
      <c r="Y132" s="946" t="s">
        <v>2425</v>
      </c>
      <c r="Z132" s="952" t="s">
        <v>2423</v>
      </c>
      <c r="AA132" s="951" t="s">
        <v>2417</v>
      </c>
      <c r="AB132" s="949" t="s">
        <v>2415</v>
      </c>
      <c r="AN132" s="2">
        <v>11</v>
      </c>
      <c r="AO132" s="2">
        <v>60</v>
      </c>
      <c r="AP132" s="2">
        <v>5.3999999999999999E-2</v>
      </c>
      <c r="AQ132" s="2">
        <v>36.6</v>
      </c>
      <c r="AR132" s="2"/>
      <c r="AS132" s="2"/>
      <c r="AT132" s="2"/>
      <c r="AU132" s="2"/>
      <c r="AV132" s="2"/>
      <c r="AW132" s="2"/>
      <c r="AX132" s="2"/>
      <c r="AY132" s="2"/>
      <c r="AZ132" s="2"/>
      <c r="BA132" s="2"/>
      <c r="BB132" s="2"/>
      <c r="BC132" s="2"/>
      <c r="BD132" s="25"/>
      <c r="BE132" s="25"/>
    </row>
    <row r="133" spans="18:57" ht="60">
      <c r="R133" s="2" t="s">
        <v>1616</v>
      </c>
      <c r="S133" s="844">
        <v>0.15</v>
      </c>
      <c r="T133" s="515">
        <v>0.85299999999999998</v>
      </c>
      <c r="U133" s="515">
        <v>0.73399999999999999</v>
      </c>
      <c r="V133" s="877">
        <v>0.92500000000000004</v>
      </c>
      <c r="W133" s="877">
        <v>0.82499999999999996</v>
      </c>
      <c r="Y133" s="946" t="s">
        <v>2426</v>
      </c>
      <c r="Z133" s="952" t="s">
        <v>2423</v>
      </c>
      <c r="AA133" s="951" t="s">
        <v>2417</v>
      </c>
      <c r="AB133" s="949" t="s">
        <v>2415</v>
      </c>
      <c r="AN133" s="2">
        <v>12</v>
      </c>
      <c r="AO133" s="2">
        <f t="shared" ref="AO133:BC133" si="18">((($AN$133-$AN$132)*(AO134-AO132))/($AN$134-$AN$132))+AO132</f>
        <v>63.35</v>
      </c>
      <c r="AP133" s="2">
        <f t="shared" si="18"/>
        <v>5.9499999999999997E-2</v>
      </c>
      <c r="AQ133" s="2">
        <f t="shared" si="18"/>
        <v>39.450000000000003</v>
      </c>
      <c r="AR133" s="2">
        <f t="shared" si="18"/>
        <v>3.3</v>
      </c>
      <c r="AS133" s="2">
        <f t="shared" si="18"/>
        <v>5.4999999999999997E-3</v>
      </c>
      <c r="AT133" s="2">
        <f t="shared" si="18"/>
        <v>2.8</v>
      </c>
      <c r="AU133" s="2">
        <f t="shared" si="18"/>
        <v>0</v>
      </c>
      <c r="AV133" s="2">
        <f t="shared" si="18"/>
        <v>0</v>
      </c>
      <c r="AW133" s="2">
        <f t="shared" si="18"/>
        <v>0</v>
      </c>
      <c r="AX133" s="2">
        <f t="shared" si="18"/>
        <v>0</v>
      </c>
      <c r="AY133" s="2">
        <f t="shared" si="18"/>
        <v>0</v>
      </c>
      <c r="AZ133" s="2">
        <f t="shared" si="18"/>
        <v>0</v>
      </c>
      <c r="BA133" s="2">
        <f t="shared" si="18"/>
        <v>0</v>
      </c>
      <c r="BB133" s="2">
        <f t="shared" si="18"/>
        <v>0</v>
      </c>
      <c r="BC133" s="2">
        <f t="shared" si="18"/>
        <v>0</v>
      </c>
      <c r="BD133" s="25"/>
      <c r="BE133" s="25"/>
    </row>
    <row r="134" spans="18:57" ht="16.5">
      <c r="R134" s="2" t="s">
        <v>1616</v>
      </c>
      <c r="S134" s="844">
        <v>0.16</v>
      </c>
      <c r="T134" s="878">
        <f t="shared" ref="T134:W137" si="19">((($S134-$S$133)*(T$138-T$133))/($S$138-$S$133))+T$133</f>
        <v>0.85119999999999996</v>
      </c>
      <c r="U134" s="878">
        <f t="shared" si="19"/>
        <v>0.73</v>
      </c>
      <c r="V134" s="878">
        <f t="shared" si="19"/>
        <v>0.92220000000000002</v>
      </c>
      <c r="W134" s="879">
        <f t="shared" si="19"/>
        <v>0.81879999999999997</v>
      </c>
      <c r="Y134" s="946" t="s">
        <v>2427</v>
      </c>
      <c r="Z134" s="952" t="s">
        <v>2423</v>
      </c>
      <c r="AA134" s="951" t="s">
        <v>2428</v>
      </c>
      <c r="AB134" s="949" t="s">
        <v>2415</v>
      </c>
      <c r="AN134" s="2">
        <v>13</v>
      </c>
      <c r="AO134" s="2">
        <v>66.7</v>
      </c>
      <c r="AP134" s="2">
        <v>6.5000000000000002E-2</v>
      </c>
      <c r="AQ134" s="2">
        <v>42.3</v>
      </c>
      <c r="AR134" s="2">
        <v>6.6</v>
      </c>
      <c r="AS134" s="2">
        <v>1.0999999999999999E-2</v>
      </c>
      <c r="AT134" s="2">
        <v>5.6</v>
      </c>
      <c r="AU134" s="2"/>
      <c r="AV134" s="2"/>
      <c r="AW134" s="2"/>
      <c r="AX134" s="2"/>
      <c r="AY134" s="2"/>
      <c r="AZ134" s="2"/>
      <c r="BA134" s="2"/>
      <c r="BB134" s="2"/>
      <c r="BC134" s="2"/>
      <c r="BD134" s="25"/>
      <c r="BE134" s="25"/>
    </row>
    <row r="135" spans="18:57">
      <c r="R135" s="2" t="s">
        <v>1616</v>
      </c>
      <c r="S135" s="844">
        <v>0.17</v>
      </c>
      <c r="T135" s="878">
        <f t="shared" si="19"/>
        <v>0.84939999999999993</v>
      </c>
      <c r="U135" s="878">
        <f t="shared" si="19"/>
        <v>0.72599999999999998</v>
      </c>
      <c r="V135" s="878">
        <f t="shared" si="19"/>
        <v>0.9194</v>
      </c>
      <c r="W135" s="879">
        <f t="shared" si="19"/>
        <v>0.81259999999999999</v>
      </c>
      <c r="Y135" s="946" t="s">
        <v>146</v>
      </c>
      <c r="Z135" s="953">
        <v>0.8</v>
      </c>
      <c r="AA135" s="948" t="s">
        <v>2417</v>
      </c>
      <c r="AB135" s="949" t="s">
        <v>2429</v>
      </c>
      <c r="AN135" s="2">
        <v>14</v>
      </c>
      <c r="AO135" s="2">
        <f t="shared" ref="AO135:BC137" si="20">((($AN135-$AN$134)*(AO$138-AO$134))/($AN$138-$AN$134))+AO$134</f>
        <v>70.174999999999997</v>
      </c>
      <c r="AP135" s="2">
        <f t="shared" si="20"/>
        <v>6.7750000000000005E-2</v>
      </c>
      <c r="AQ135" s="2">
        <f t="shared" si="20"/>
        <v>44.375</v>
      </c>
      <c r="AR135" s="2">
        <f t="shared" si="20"/>
        <v>10.1</v>
      </c>
      <c r="AS135" s="2">
        <f t="shared" si="20"/>
        <v>1.3749999999999998E-2</v>
      </c>
      <c r="AT135" s="2">
        <f t="shared" si="20"/>
        <v>7.6999999999999993</v>
      </c>
      <c r="AU135" s="2">
        <f t="shared" si="20"/>
        <v>3.5</v>
      </c>
      <c r="AV135" s="2">
        <f t="shared" si="20"/>
        <v>2.7499999999999998E-3</v>
      </c>
      <c r="AW135" s="2">
        <f t="shared" si="20"/>
        <v>2.0750000000000002</v>
      </c>
      <c r="AX135" s="2">
        <f t="shared" si="20"/>
        <v>0</v>
      </c>
      <c r="AY135" s="2">
        <f t="shared" si="20"/>
        <v>0</v>
      </c>
      <c r="AZ135" s="2">
        <f t="shared" si="20"/>
        <v>0</v>
      </c>
      <c r="BA135" s="2">
        <f t="shared" si="20"/>
        <v>0</v>
      </c>
      <c r="BB135" s="2">
        <f t="shared" si="20"/>
        <v>0</v>
      </c>
      <c r="BC135" s="2">
        <f t="shared" si="20"/>
        <v>0</v>
      </c>
      <c r="BD135" s="25"/>
      <c r="BE135" s="25"/>
    </row>
    <row r="136" spans="18:57">
      <c r="R136" s="2" t="s">
        <v>1616</v>
      </c>
      <c r="S136" s="844">
        <v>0.18</v>
      </c>
      <c r="T136" s="878">
        <f t="shared" si="19"/>
        <v>0.84760000000000002</v>
      </c>
      <c r="U136" s="878">
        <f t="shared" si="19"/>
        <v>0.72199999999999998</v>
      </c>
      <c r="V136" s="878">
        <f t="shared" si="19"/>
        <v>0.91660000000000008</v>
      </c>
      <c r="W136" s="879">
        <f t="shared" si="19"/>
        <v>0.80640000000000001</v>
      </c>
      <c r="AN136" s="2">
        <v>15</v>
      </c>
      <c r="AO136" s="2">
        <f t="shared" si="20"/>
        <v>73.650000000000006</v>
      </c>
      <c r="AP136" s="2">
        <f t="shared" si="20"/>
        <v>7.0500000000000007E-2</v>
      </c>
      <c r="AQ136" s="2">
        <f t="shared" si="20"/>
        <v>46.45</v>
      </c>
      <c r="AR136" s="2">
        <f t="shared" si="20"/>
        <v>13.600000000000001</v>
      </c>
      <c r="AS136" s="2">
        <f t="shared" si="20"/>
        <v>1.6500000000000001E-2</v>
      </c>
      <c r="AT136" s="2">
        <f t="shared" si="20"/>
        <v>9.8000000000000007</v>
      </c>
      <c r="AU136" s="2">
        <f t="shared" si="20"/>
        <v>7</v>
      </c>
      <c r="AV136" s="2">
        <f t="shared" si="20"/>
        <v>5.4999999999999997E-3</v>
      </c>
      <c r="AW136" s="2">
        <f t="shared" si="20"/>
        <v>4.1500000000000004</v>
      </c>
      <c r="AX136" s="2">
        <f t="shared" si="20"/>
        <v>0</v>
      </c>
      <c r="AY136" s="2">
        <f t="shared" si="20"/>
        <v>0</v>
      </c>
      <c r="AZ136" s="2">
        <f t="shared" si="20"/>
        <v>0</v>
      </c>
      <c r="BA136" s="2">
        <f t="shared" si="20"/>
        <v>0</v>
      </c>
      <c r="BB136" s="2">
        <f t="shared" si="20"/>
        <v>0</v>
      </c>
      <c r="BC136" s="2">
        <f t="shared" si="20"/>
        <v>0</v>
      </c>
      <c r="BD136" s="25"/>
      <c r="BE136" s="25"/>
    </row>
    <row r="137" spans="18:57">
      <c r="R137" s="2" t="s">
        <v>1616</v>
      </c>
      <c r="S137" s="844">
        <v>0.19</v>
      </c>
      <c r="T137" s="878">
        <f t="shared" si="19"/>
        <v>0.8458</v>
      </c>
      <c r="U137" s="878">
        <f t="shared" si="19"/>
        <v>0.71799999999999997</v>
      </c>
      <c r="V137" s="878">
        <f t="shared" si="19"/>
        <v>0.91380000000000006</v>
      </c>
      <c r="W137" s="879">
        <f t="shared" si="19"/>
        <v>0.80020000000000002</v>
      </c>
      <c r="AN137" s="2">
        <v>16</v>
      </c>
      <c r="AO137" s="2">
        <f t="shared" si="20"/>
        <v>77.125</v>
      </c>
      <c r="AP137" s="2">
        <f t="shared" si="20"/>
        <v>7.3249999999999996E-2</v>
      </c>
      <c r="AQ137" s="2">
        <f t="shared" si="20"/>
        <v>48.524999999999999</v>
      </c>
      <c r="AR137" s="2">
        <f t="shared" si="20"/>
        <v>17.100000000000001</v>
      </c>
      <c r="AS137" s="2">
        <f t="shared" si="20"/>
        <v>1.925E-2</v>
      </c>
      <c r="AT137" s="2">
        <f t="shared" si="20"/>
        <v>11.9</v>
      </c>
      <c r="AU137" s="2">
        <f t="shared" si="20"/>
        <v>10.5</v>
      </c>
      <c r="AV137" s="2">
        <f t="shared" si="20"/>
        <v>8.2500000000000004E-3</v>
      </c>
      <c r="AW137" s="2">
        <f t="shared" si="20"/>
        <v>6.2250000000000005</v>
      </c>
      <c r="AX137" s="2">
        <f t="shared" si="20"/>
        <v>0</v>
      </c>
      <c r="AY137" s="2">
        <f t="shared" si="20"/>
        <v>0</v>
      </c>
      <c r="AZ137" s="2">
        <f t="shared" si="20"/>
        <v>0</v>
      </c>
      <c r="BA137" s="2">
        <f t="shared" si="20"/>
        <v>0</v>
      </c>
      <c r="BB137" s="2">
        <f t="shared" si="20"/>
        <v>0</v>
      </c>
      <c r="BC137" s="2">
        <f t="shared" si="20"/>
        <v>0</v>
      </c>
      <c r="BD137" s="25"/>
      <c r="BE137" s="25"/>
    </row>
    <row r="138" spans="18:57">
      <c r="R138" s="2" t="s">
        <v>1616</v>
      </c>
      <c r="S138" s="844">
        <v>0.2</v>
      </c>
      <c r="T138" s="877">
        <v>0.84399999999999997</v>
      </c>
      <c r="U138" s="877">
        <v>0.71399999999999997</v>
      </c>
      <c r="V138" s="877">
        <v>0.91100000000000003</v>
      </c>
      <c r="W138" s="877">
        <v>0.79400000000000004</v>
      </c>
      <c r="AN138" s="2">
        <v>17</v>
      </c>
      <c r="AO138" s="2">
        <v>80.599999999999994</v>
      </c>
      <c r="AP138" s="2">
        <v>7.5999999999999998E-2</v>
      </c>
      <c r="AQ138" s="2">
        <v>50.6</v>
      </c>
      <c r="AR138" s="2">
        <v>20.6</v>
      </c>
      <c r="AS138" s="2">
        <v>2.1999999999999999E-2</v>
      </c>
      <c r="AT138" s="2">
        <v>14</v>
      </c>
      <c r="AU138" s="2">
        <v>14</v>
      </c>
      <c r="AV138" s="2">
        <v>1.0999999999999999E-2</v>
      </c>
      <c r="AW138" s="2">
        <v>8.3000000000000007</v>
      </c>
      <c r="AX138" s="2"/>
      <c r="AY138" s="2"/>
      <c r="AZ138" s="2"/>
      <c r="BA138" s="2"/>
      <c r="BB138" s="2"/>
      <c r="BC138" s="2"/>
      <c r="BD138" s="25"/>
      <c r="BE138" s="25"/>
    </row>
    <row r="139" spans="18:57">
      <c r="R139" s="2" t="s">
        <v>1616</v>
      </c>
      <c r="S139" s="844">
        <v>0.21</v>
      </c>
      <c r="T139" s="878">
        <f t="shared" ref="T139:W142" si="21">((($S139-$S$138)*(T$143-T$138))/($S$143-$S$138))+T$138</f>
        <v>0.84199999999999997</v>
      </c>
      <c r="U139" s="878">
        <f t="shared" si="21"/>
        <v>0.70979999999999999</v>
      </c>
      <c r="V139" s="878">
        <f t="shared" si="21"/>
        <v>0.90800000000000003</v>
      </c>
      <c r="W139" s="879">
        <f t="shared" si="21"/>
        <v>0.78820000000000001</v>
      </c>
      <c r="AN139" s="2">
        <v>18</v>
      </c>
      <c r="AO139" s="2">
        <f t="shared" ref="AO139:BC139" si="22">((($AN$139-$AN$138)*(AO140-AO138))/($AN$140-$AN$138))+AO138</f>
        <v>83.199999999999989</v>
      </c>
      <c r="AP139" s="2">
        <f t="shared" si="22"/>
        <v>7.5999999999999998E-2</v>
      </c>
      <c r="AQ139" s="2">
        <f t="shared" si="22"/>
        <v>52.150000000000006</v>
      </c>
      <c r="AR139" s="2">
        <f t="shared" si="22"/>
        <v>23.200000000000003</v>
      </c>
      <c r="AS139" s="2">
        <f t="shared" si="22"/>
        <v>2.1999999999999999E-2</v>
      </c>
      <c r="AT139" s="2">
        <f t="shared" si="22"/>
        <v>15.5</v>
      </c>
      <c r="AU139" s="2">
        <f t="shared" si="22"/>
        <v>16.600000000000001</v>
      </c>
      <c r="AV139" s="2">
        <f t="shared" si="22"/>
        <v>1.0999999999999999E-2</v>
      </c>
      <c r="AW139" s="2">
        <f t="shared" si="22"/>
        <v>9.8500000000000014</v>
      </c>
      <c r="AX139" s="2">
        <f t="shared" si="22"/>
        <v>2.6</v>
      </c>
      <c r="AY139" s="2">
        <f t="shared" si="22"/>
        <v>0</v>
      </c>
      <c r="AZ139" s="2">
        <f t="shared" si="22"/>
        <v>1.5</v>
      </c>
      <c r="BA139" s="2">
        <f t="shared" si="22"/>
        <v>0</v>
      </c>
      <c r="BB139" s="2">
        <f t="shared" si="22"/>
        <v>0</v>
      </c>
      <c r="BC139" s="2">
        <f t="shared" si="22"/>
        <v>0</v>
      </c>
      <c r="BD139" s="25"/>
      <c r="BE139" s="25"/>
    </row>
    <row r="140" spans="18:57">
      <c r="R140" s="2" t="s">
        <v>1616</v>
      </c>
      <c r="S140" s="844">
        <v>0.22</v>
      </c>
      <c r="T140" s="878">
        <f t="shared" si="21"/>
        <v>0.84</v>
      </c>
      <c r="U140" s="878">
        <f t="shared" si="21"/>
        <v>0.7056</v>
      </c>
      <c r="V140" s="878">
        <f t="shared" si="21"/>
        <v>0.90500000000000003</v>
      </c>
      <c r="W140" s="879">
        <f t="shared" si="21"/>
        <v>0.78239999999999998</v>
      </c>
      <c r="AN140" s="2">
        <v>19</v>
      </c>
      <c r="AO140" s="2">
        <v>85.8</v>
      </c>
      <c r="AP140" s="2">
        <v>7.5999999999999998E-2</v>
      </c>
      <c r="AQ140" s="2">
        <v>53.7</v>
      </c>
      <c r="AR140" s="2">
        <v>25.8</v>
      </c>
      <c r="AS140" s="2">
        <v>2.1999999999999999E-2</v>
      </c>
      <c r="AT140" s="2">
        <v>17</v>
      </c>
      <c r="AU140" s="2">
        <v>19.2</v>
      </c>
      <c r="AV140" s="2">
        <v>1.0999999999999999E-2</v>
      </c>
      <c r="AW140" s="2">
        <v>11.4</v>
      </c>
      <c r="AX140" s="2">
        <v>5.2</v>
      </c>
      <c r="AY140" s="2">
        <v>0</v>
      </c>
      <c r="AZ140" s="2">
        <v>3</v>
      </c>
      <c r="BA140" s="2"/>
      <c r="BB140" s="2"/>
      <c r="BC140" s="2"/>
      <c r="BD140" s="25"/>
      <c r="BE140" s="25"/>
    </row>
    <row r="141" spans="18:57">
      <c r="R141" s="2" t="s">
        <v>1616</v>
      </c>
      <c r="S141" s="844">
        <v>0.23</v>
      </c>
      <c r="T141" s="878">
        <f t="shared" si="21"/>
        <v>0.83799999999999997</v>
      </c>
      <c r="U141" s="878">
        <f t="shared" si="21"/>
        <v>0.70139999999999991</v>
      </c>
      <c r="V141" s="878">
        <f t="shared" si="21"/>
        <v>0.90200000000000002</v>
      </c>
      <c r="W141" s="879">
        <f t="shared" si="21"/>
        <v>0.77660000000000007</v>
      </c>
      <c r="AN141" s="2">
        <v>20</v>
      </c>
      <c r="AO141" s="2">
        <f t="shared" ref="AO141:BC141" si="23">((($AN$141-$AN$140)*(AO142-AO140))/($AN$142-$AN$140))+AO140</f>
        <v>87.949999999999989</v>
      </c>
      <c r="AP141" s="2">
        <f t="shared" si="23"/>
        <v>7.5999999999999998E-2</v>
      </c>
      <c r="AQ141" s="2">
        <f t="shared" si="23"/>
        <v>54.900000000000006</v>
      </c>
      <c r="AR141" s="2">
        <f t="shared" si="23"/>
        <v>27.9</v>
      </c>
      <c r="AS141" s="2">
        <f t="shared" si="23"/>
        <v>2.1999999999999999E-2</v>
      </c>
      <c r="AT141" s="2">
        <f t="shared" si="23"/>
        <v>18.25</v>
      </c>
      <c r="AU141" s="2">
        <f t="shared" si="23"/>
        <v>21.299999999999997</v>
      </c>
      <c r="AV141" s="2">
        <f t="shared" si="23"/>
        <v>1.0999999999999999E-2</v>
      </c>
      <c r="AW141" s="2">
        <f t="shared" si="23"/>
        <v>12.65</v>
      </c>
      <c r="AX141" s="2">
        <f t="shared" si="23"/>
        <v>7.3000000000000007</v>
      </c>
      <c r="AY141" s="2">
        <f t="shared" si="23"/>
        <v>0</v>
      </c>
      <c r="AZ141" s="2">
        <f t="shared" si="23"/>
        <v>4.25</v>
      </c>
      <c r="BA141" s="2">
        <f t="shared" si="23"/>
        <v>2.1</v>
      </c>
      <c r="BB141" s="2">
        <f t="shared" si="23"/>
        <v>0</v>
      </c>
      <c r="BC141" s="2">
        <f t="shared" si="23"/>
        <v>1.25</v>
      </c>
      <c r="BD141" s="25"/>
      <c r="BE141" s="25"/>
    </row>
    <row r="142" spans="18:57">
      <c r="R142" s="2" t="s">
        <v>1616</v>
      </c>
      <c r="S142" s="844">
        <v>0.24</v>
      </c>
      <c r="T142" s="878">
        <f t="shared" si="21"/>
        <v>0.83599999999999997</v>
      </c>
      <c r="U142" s="878">
        <f t="shared" si="21"/>
        <v>0.69719999999999993</v>
      </c>
      <c r="V142" s="878">
        <f t="shared" si="21"/>
        <v>0.89900000000000002</v>
      </c>
      <c r="W142" s="879">
        <f t="shared" si="21"/>
        <v>0.77080000000000004</v>
      </c>
      <c r="AN142" s="2">
        <v>21</v>
      </c>
      <c r="AO142" s="2">
        <v>90.1</v>
      </c>
      <c r="AP142" s="2">
        <v>7.5999999999999998E-2</v>
      </c>
      <c r="AQ142" s="2">
        <v>56.1</v>
      </c>
      <c r="AR142" s="2">
        <v>30</v>
      </c>
      <c r="AS142" s="2">
        <v>2.1999999999999999E-2</v>
      </c>
      <c r="AT142" s="2">
        <v>19.5</v>
      </c>
      <c r="AU142" s="2">
        <v>23.4</v>
      </c>
      <c r="AV142" s="2">
        <v>1.0999999999999999E-2</v>
      </c>
      <c r="AW142" s="2">
        <v>13.9</v>
      </c>
      <c r="AX142" s="2">
        <v>9.4</v>
      </c>
      <c r="AY142" s="2">
        <v>0</v>
      </c>
      <c r="AZ142" s="2">
        <v>5.5</v>
      </c>
      <c r="BA142" s="2">
        <v>4.2</v>
      </c>
      <c r="BB142" s="2">
        <v>0</v>
      </c>
      <c r="BC142" s="2">
        <v>2.5</v>
      </c>
      <c r="BD142" s="25"/>
      <c r="BE142" s="25"/>
    </row>
    <row r="143" spans="18:57">
      <c r="R143" s="2" t="s">
        <v>1616</v>
      </c>
      <c r="S143" s="844">
        <v>0.25</v>
      </c>
      <c r="T143" s="877">
        <v>0.83399999999999996</v>
      </c>
      <c r="U143" s="877">
        <v>0.69299999999999995</v>
      </c>
      <c r="V143" s="877">
        <v>0.89600000000000002</v>
      </c>
      <c r="W143" s="877">
        <v>0.76500000000000001</v>
      </c>
      <c r="AN143" s="2">
        <v>22</v>
      </c>
      <c r="AO143" s="2">
        <f t="shared" ref="AO143:BC145" si="24">((($AN143-$AN$142)*(AO$146-AO$142))/($AN$146-$AN$142))+AO$142</f>
        <v>91.449999999999989</v>
      </c>
      <c r="AP143" s="2">
        <f t="shared" si="24"/>
        <v>7.8750000000000001E-2</v>
      </c>
      <c r="AQ143" s="2">
        <f t="shared" si="24"/>
        <v>57.125</v>
      </c>
      <c r="AR143" s="2">
        <f t="shared" si="24"/>
        <v>31.35</v>
      </c>
      <c r="AS143" s="2">
        <f t="shared" si="24"/>
        <v>2.4750000000000001E-2</v>
      </c>
      <c r="AT143" s="2">
        <f t="shared" si="24"/>
        <v>20.5</v>
      </c>
      <c r="AU143" s="2">
        <f t="shared" si="24"/>
        <v>24.75</v>
      </c>
      <c r="AV143" s="2">
        <f t="shared" si="24"/>
        <v>1.3749999999999998E-2</v>
      </c>
      <c r="AW143" s="2">
        <f t="shared" si="24"/>
        <v>14.9</v>
      </c>
      <c r="AX143" s="2">
        <f t="shared" si="24"/>
        <v>10.75</v>
      </c>
      <c r="AY143" s="2">
        <f t="shared" si="24"/>
        <v>2.7499999999999998E-3</v>
      </c>
      <c r="AZ143" s="2">
        <f t="shared" si="24"/>
        <v>6.5</v>
      </c>
      <c r="BA143" s="2">
        <f t="shared" si="24"/>
        <v>5.55</v>
      </c>
      <c r="BB143" s="2">
        <f t="shared" si="24"/>
        <v>2.7499999999999998E-3</v>
      </c>
      <c r="BC143" s="2">
        <f t="shared" si="24"/>
        <v>3.5</v>
      </c>
      <c r="BD143" s="25"/>
      <c r="BE143" s="25"/>
    </row>
    <row r="144" spans="18:57">
      <c r="R144" s="2" t="s">
        <v>1616</v>
      </c>
      <c r="S144" s="844">
        <v>0.26</v>
      </c>
      <c r="T144" s="878">
        <f t="shared" ref="T144:W147" si="25">((($S144-$S$143)*(T$148-T$143))/($S$148-$S$143))+T$143</f>
        <v>0.83179999999999998</v>
      </c>
      <c r="U144" s="878">
        <f t="shared" si="25"/>
        <v>0.68940000000000001</v>
      </c>
      <c r="V144" s="878">
        <f t="shared" si="25"/>
        <v>0.89300000000000002</v>
      </c>
      <c r="W144" s="879">
        <f t="shared" si="25"/>
        <v>0.75980000000000003</v>
      </c>
      <c r="AN144" s="2">
        <v>23</v>
      </c>
      <c r="AO144" s="2">
        <f t="shared" si="24"/>
        <v>92.8</v>
      </c>
      <c r="AP144" s="2">
        <f t="shared" si="24"/>
        <v>8.1499999999999989E-2</v>
      </c>
      <c r="AQ144" s="2">
        <f t="shared" si="24"/>
        <v>58.150000000000006</v>
      </c>
      <c r="AR144" s="2">
        <f t="shared" si="24"/>
        <v>32.700000000000003</v>
      </c>
      <c r="AS144" s="2">
        <f t="shared" si="24"/>
        <v>2.75E-2</v>
      </c>
      <c r="AT144" s="2">
        <f t="shared" si="24"/>
        <v>21.5</v>
      </c>
      <c r="AU144" s="2">
        <f t="shared" si="24"/>
        <v>26.1</v>
      </c>
      <c r="AV144" s="2">
        <f t="shared" si="24"/>
        <v>1.6500000000000001E-2</v>
      </c>
      <c r="AW144" s="2">
        <f t="shared" si="24"/>
        <v>15.899999999999999</v>
      </c>
      <c r="AX144" s="2">
        <f t="shared" si="24"/>
        <v>12.100000000000001</v>
      </c>
      <c r="AY144" s="2">
        <f t="shared" si="24"/>
        <v>5.4999999999999997E-3</v>
      </c>
      <c r="AZ144" s="2">
        <f t="shared" si="24"/>
        <v>7.5</v>
      </c>
      <c r="BA144" s="2">
        <f t="shared" si="24"/>
        <v>6.9</v>
      </c>
      <c r="BB144" s="2">
        <f t="shared" si="24"/>
        <v>5.4999999999999997E-3</v>
      </c>
      <c r="BC144" s="2">
        <f t="shared" si="24"/>
        <v>4.5</v>
      </c>
      <c r="BD144" s="25"/>
      <c r="BE144" s="25"/>
    </row>
    <row r="145" spans="18:57">
      <c r="R145" s="2" t="s">
        <v>1616</v>
      </c>
      <c r="S145" s="844">
        <v>0.27</v>
      </c>
      <c r="T145" s="878">
        <f t="shared" si="25"/>
        <v>0.8296</v>
      </c>
      <c r="U145" s="878">
        <f t="shared" si="25"/>
        <v>0.68579999999999997</v>
      </c>
      <c r="V145" s="878">
        <f t="shared" si="25"/>
        <v>0.89</v>
      </c>
      <c r="W145" s="879">
        <f t="shared" si="25"/>
        <v>0.75459999999999994</v>
      </c>
      <c r="AN145" s="2">
        <v>24</v>
      </c>
      <c r="AO145" s="2">
        <f t="shared" si="24"/>
        <v>94.15</v>
      </c>
      <c r="AP145" s="2">
        <f t="shared" si="24"/>
        <v>8.4249999999999992E-2</v>
      </c>
      <c r="AQ145" s="2">
        <f t="shared" si="24"/>
        <v>59.175000000000004</v>
      </c>
      <c r="AR145" s="2">
        <f t="shared" si="24"/>
        <v>34.049999999999997</v>
      </c>
      <c r="AS145" s="2">
        <f t="shared" si="24"/>
        <v>3.0249999999999999E-2</v>
      </c>
      <c r="AT145" s="2">
        <f t="shared" si="24"/>
        <v>22.5</v>
      </c>
      <c r="AU145" s="2">
        <f t="shared" si="24"/>
        <v>27.45</v>
      </c>
      <c r="AV145" s="2">
        <f t="shared" si="24"/>
        <v>1.925E-2</v>
      </c>
      <c r="AW145" s="2">
        <f t="shared" si="24"/>
        <v>16.899999999999999</v>
      </c>
      <c r="AX145" s="2">
        <f t="shared" si="24"/>
        <v>13.450000000000001</v>
      </c>
      <c r="AY145" s="2">
        <f t="shared" si="24"/>
        <v>8.2500000000000004E-3</v>
      </c>
      <c r="AZ145" s="2">
        <f t="shared" si="24"/>
        <v>8.5</v>
      </c>
      <c r="BA145" s="2">
        <f t="shared" si="24"/>
        <v>8.25</v>
      </c>
      <c r="BB145" s="2">
        <f t="shared" si="24"/>
        <v>8.2500000000000004E-3</v>
      </c>
      <c r="BC145" s="2">
        <f t="shared" si="24"/>
        <v>5.5</v>
      </c>
      <c r="BD145" s="25"/>
      <c r="BE145" s="25"/>
    </row>
    <row r="146" spans="18:57">
      <c r="R146" s="2" t="s">
        <v>1616</v>
      </c>
      <c r="S146" s="844">
        <v>0.28000000000000003</v>
      </c>
      <c r="T146" s="878">
        <f t="shared" si="25"/>
        <v>0.82739999999999991</v>
      </c>
      <c r="U146" s="878">
        <f t="shared" si="25"/>
        <v>0.68220000000000003</v>
      </c>
      <c r="V146" s="878">
        <f t="shared" si="25"/>
        <v>0.88700000000000001</v>
      </c>
      <c r="W146" s="879">
        <f t="shared" si="25"/>
        <v>0.74939999999999996</v>
      </c>
      <c r="AN146" s="2">
        <v>25</v>
      </c>
      <c r="AO146" s="2">
        <v>95.5</v>
      </c>
      <c r="AP146" s="2">
        <v>8.6999999999999994E-2</v>
      </c>
      <c r="AQ146" s="2">
        <v>60.2</v>
      </c>
      <c r="AR146" s="2">
        <v>35.4</v>
      </c>
      <c r="AS146" s="2">
        <v>3.3000000000000002E-2</v>
      </c>
      <c r="AT146" s="2">
        <v>23.5</v>
      </c>
      <c r="AU146" s="2">
        <v>28.8</v>
      </c>
      <c r="AV146" s="2">
        <v>2.1999999999999999E-2</v>
      </c>
      <c r="AW146" s="2">
        <v>17.899999999999999</v>
      </c>
      <c r="AX146" s="2">
        <v>14.8</v>
      </c>
      <c r="AY146" s="2">
        <v>1.0999999999999999E-2</v>
      </c>
      <c r="AZ146" s="2">
        <v>9.5</v>
      </c>
      <c r="BA146" s="2">
        <v>9.6</v>
      </c>
      <c r="BB146" s="2">
        <v>1.0999999999999999E-2</v>
      </c>
      <c r="BC146" s="2">
        <v>6.5</v>
      </c>
      <c r="BD146" s="25"/>
      <c r="BE146" s="25"/>
    </row>
    <row r="147" spans="18:57">
      <c r="R147" s="2" t="s">
        <v>1616</v>
      </c>
      <c r="S147" s="844">
        <v>0.28999999999999998</v>
      </c>
      <c r="T147" s="878">
        <f t="shared" si="25"/>
        <v>0.82519999999999993</v>
      </c>
      <c r="U147" s="878">
        <f t="shared" si="25"/>
        <v>0.67859999999999998</v>
      </c>
      <c r="V147" s="878">
        <f t="shared" si="25"/>
        <v>0.88400000000000001</v>
      </c>
      <c r="W147" s="879">
        <f t="shared" si="25"/>
        <v>0.74419999999999997</v>
      </c>
      <c r="AN147" s="2">
        <v>26</v>
      </c>
      <c r="AO147" s="2">
        <f t="shared" ref="AO147:BC147" si="26">((($AN$147-$AN$146)*(AO148-AO146))/($AN$148-$AN$146))+AO146</f>
        <v>96.65</v>
      </c>
      <c r="AP147" s="2">
        <f t="shared" si="26"/>
        <v>8.6999999999999994E-2</v>
      </c>
      <c r="AQ147" s="2">
        <f t="shared" si="26"/>
        <v>60.95</v>
      </c>
      <c r="AR147" s="2">
        <f t="shared" si="26"/>
        <v>36.549999999999997</v>
      </c>
      <c r="AS147" s="2">
        <f t="shared" si="26"/>
        <v>3.3000000000000002E-2</v>
      </c>
      <c r="AT147" s="2">
        <f t="shared" si="26"/>
        <v>24.25</v>
      </c>
      <c r="AU147" s="2">
        <f t="shared" si="26"/>
        <v>29.950000000000003</v>
      </c>
      <c r="AV147" s="2">
        <f t="shared" si="26"/>
        <v>2.1999999999999999E-2</v>
      </c>
      <c r="AW147" s="2">
        <f t="shared" si="26"/>
        <v>14.5</v>
      </c>
      <c r="AX147" s="2">
        <f t="shared" si="26"/>
        <v>15.950000000000001</v>
      </c>
      <c r="AY147" s="2">
        <f t="shared" si="26"/>
        <v>1.0999999999999999E-2</v>
      </c>
      <c r="AZ147" s="2">
        <f t="shared" si="26"/>
        <v>10.3</v>
      </c>
      <c r="BA147" s="2">
        <f t="shared" si="26"/>
        <v>10.75</v>
      </c>
      <c r="BB147" s="2">
        <f t="shared" si="26"/>
        <v>1.0999999999999999E-2</v>
      </c>
      <c r="BC147" s="2">
        <f t="shared" si="26"/>
        <v>7.25</v>
      </c>
      <c r="BD147" s="25"/>
      <c r="BE147" s="25"/>
    </row>
    <row r="148" spans="18:57">
      <c r="R148" s="2" t="s">
        <v>1616</v>
      </c>
      <c r="S148" s="844">
        <v>0.3</v>
      </c>
      <c r="T148" s="877">
        <v>0.82299999999999995</v>
      </c>
      <c r="U148" s="877">
        <v>0.67500000000000004</v>
      </c>
      <c r="V148" s="877">
        <v>0.88100000000000001</v>
      </c>
      <c r="W148" s="877">
        <v>0.73899999999999999</v>
      </c>
      <c r="AN148" s="2">
        <v>27</v>
      </c>
      <c r="AO148" s="2">
        <v>97.8</v>
      </c>
      <c r="AP148" s="2">
        <v>8.6999999999999994E-2</v>
      </c>
      <c r="AQ148" s="2">
        <v>61.7</v>
      </c>
      <c r="AR148" s="2">
        <v>37.700000000000003</v>
      </c>
      <c r="AS148" s="2">
        <v>3.3000000000000002E-2</v>
      </c>
      <c r="AT148" s="2">
        <v>25</v>
      </c>
      <c r="AU148" s="2">
        <v>31.1</v>
      </c>
      <c r="AV148" s="2">
        <v>2.1999999999999999E-2</v>
      </c>
      <c r="AW148" s="2">
        <v>11.1</v>
      </c>
      <c r="AX148" s="2">
        <v>17.100000000000001</v>
      </c>
      <c r="AY148" s="2">
        <v>1.0999999999999999E-2</v>
      </c>
      <c r="AZ148" s="2">
        <v>11.1</v>
      </c>
      <c r="BA148" s="2">
        <v>11.9</v>
      </c>
      <c r="BB148" s="2">
        <v>1.0999999999999999E-2</v>
      </c>
      <c r="BC148" s="2">
        <v>8</v>
      </c>
      <c r="BD148" s="25"/>
      <c r="BE148" s="25"/>
    </row>
    <row r="149" spans="18:57">
      <c r="R149" s="2" t="s">
        <v>1617</v>
      </c>
      <c r="S149" s="844">
        <v>0</v>
      </c>
      <c r="T149" s="877">
        <v>0.85399999999999998</v>
      </c>
      <c r="U149" s="877">
        <v>0.79700000000000004</v>
      </c>
      <c r="V149" s="877">
        <v>0.95399999999999996</v>
      </c>
      <c r="W149" s="877">
        <v>0.89300000000000002</v>
      </c>
    </row>
    <row r="150" spans="18:57">
      <c r="R150" s="2" t="s">
        <v>1617</v>
      </c>
      <c r="S150" s="844">
        <v>0.08</v>
      </c>
      <c r="T150" s="877">
        <v>0.85399999999999998</v>
      </c>
      <c r="U150" s="877">
        <v>0.79700000000000004</v>
      </c>
      <c r="V150" s="877">
        <v>0.95399999999999996</v>
      </c>
      <c r="W150" s="877">
        <v>0.89300000000000002</v>
      </c>
    </row>
    <row r="151" spans="18:57">
      <c r="R151" s="2" t="s">
        <v>1617</v>
      </c>
      <c r="S151" s="844">
        <v>0.09</v>
      </c>
      <c r="T151" s="878">
        <f t="shared" ref="T151:W156" si="27">((($S151-$S$150)*(T$157-T$150))/($S$157-$S$150))+T$150</f>
        <v>0.85271428571428565</v>
      </c>
      <c r="U151" s="878">
        <f t="shared" si="27"/>
        <v>0.79242857142857148</v>
      </c>
      <c r="V151" s="878">
        <f t="shared" si="27"/>
        <v>0.95214285714285707</v>
      </c>
      <c r="W151" s="879">
        <f t="shared" si="27"/>
        <v>0.88657142857142857</v>
      </c>
      <c r="BD151" s="806"/>
      <c r="BE151" s="806"/>
    </row>
    <row r="152" spans="18:57">
      <c r="R152" s="2" t="s">
        <v>1617</v>
      </c>
      <c r="S152" s="844">
        <v>0.1</v>
      </c>
      <c r="T152" s="878">
        <f t="shared" si="27"/>
        <v>0.85142857142857142</v>
      </c>
      <c r="U152" s="878">
        <f t="shared" si="27"/>
        <v>0.78785714285714292</v>
      </c>
      <c r="V152" s="878">
        <f t="shared" si="27"/>
        <v>0.95028571428571429</v>
      </c>
      <c r="W152" s="879">
        <f t="shared" si="27"/>
        <v>0.88014285714285712</v>
      </c>
      <c r="BD152" s="25"/>
      <c r="BE152" s="25"/>
    </row>
    <row r="153" spans="18:57">
      <c r="R153" s="2" t="s">
        <v>1617</v>
      </c>
      <c r="S153" s="844">
        <v>0.11</v>
      </c>
      <c r="T153" s="878">
        <f t="shared" si="27"/>
        <v>0.85014285714285709</v>
      </c>
      <c r="U153" s="878">
        <f t="shared" si="27"/>
        <v>0.78328571428571436</v>
      </c>
      <c r="V153" s="878">
        <f t="shared" si="27"/>
        <v>0.9484285714285714</v>
      </c>
      <c r="W153" s="879">
        <f t="shared" si="27"/>
        <v>0.87371428571428567</v>
      </c>
      <c r="AN153" s="431" t="s">
        <v>1132</v>
      </c>
      <c r="BD153" s="25"/>
      <c r="BE153" s="25"/>
    </row>
    <row r="154" spans="18:57">
      <c r="R154" s="2" t="s">
        <v>1617</v>
      </c>
      <c r="S154" s="844">
        <v>0.12</v>
      </c>
      <c r="T154" s="878">
        <f t="shared" si="27"/>
        <v>0.84885714285714287</v>
      </c>
      <c r="U154" s="878">
        <f t="shared" si="27"/>
        <v>0.77871428571428569</v>
      </c>
      <c r="V154" s="878">
        <f t="shared" si="27"/>
        <v>0.94657142857142851</v>
      </c>
      <c r="W154" s="879">
        <f t="shared" si="27"/>
        <v>0.86728571428571433</v>
      </c>
      <c r="AN154" s="2" t="s">
        <v>1082</v>
      </c>
      <c r="AO154" s="1291">
        <v>0</v>
      </c>
      <c r="AP154" s="1291"/>
      <c r="AQ154" s="1291"/>
      <c r="AR154" s="1291">
        <v>11</v>
      </c>
      <c r="AS154" s="1291"/>
      <c r="AT154" s="1291"/>
      <c r="AU154" s="1291">
        <v>13</v>
      </c>
      <c r="AV154" s="1291"/>
      <c r="AW154" s="1291"/>
      <c r="AX154" s="1291">
        <v>17</v>
      </c>
      <c r="AY154" s="1291"/>
      <c r="AZ154" s="1291"/>
      <c r="BA154" s="1291">
        <v>19</v>
      </c>
      <c r="BB154" s="1291"/>
      <c r="BC154" s="1291"/>
      <c r="BD154" s="25"/>
      <c r="BE154" s="25"/>
    </row>
    <row r="155" spans="18:57">
      <c r="R155" s="2" t="s">
        <v>1617</v>
      </c>
      <c r="S155" s="844">
        <v>0.13</v>
      </c>
      <c r="T155" s="878">
        <f t="shared" si="27"/>
        <v>0.84757142857142853</v>
      </c>
      <c r="U155" s="878">
        <f t="shared" si="27"/>
        <v>0.77414285714285713</v>
      </c>
      <c r="V155" s="878">
        <f t="shared" si="27"/>
        <v>0.94471428571428562</v>
      </c>
      <c r="W155" s="879">
        <f t="shared" si="27"/>
        <v>0.86085714285714288</v>
      </c>
      <c r="AN155" s="2" t="s">
        <v>1083</v>
      </c>
      <c r="AO155" s="2" t="s">
        <v>1084</v>
      </c>
      <c r="AP155" s="1269" t="s">
        <v>1085</v>
      </c>
      <c r="AQ155" s="1270"/>
      <c r="AR155" s="2" t="s">
        <v>1084</v>
      </c>
      <c r="AS155" s="1269" t="s">
        <v>1085</v>
      </c>
      <c r="AT155" s="1270"/>
      <c r="AU155" s="2" t="s">
        <v>1084</v>
      </c>
      <c r="AV155" s="1269" t="s">
        <v>1085</v>
      </c>
      <c r="AW155" s="1270"/>
      <c r="AX155" s="2" t="s">
        <v>1084</v>
      </c>
      <c r="AY155" s="1269" t="s">
        <v>1085</v>
      </c>
      <c r="AZ155" s="1270"/>
      <c r="BA155" s="2" t="s">
        <v>1084</v>
      </c>
      <c r="BB155" s="1269" t="s">
        <v>1085</v>
      </c>
      <c r="BC155" s="1270"/>
      <c r="BD155" s="25"/>
      <c r="BE155" s="25"/>
    </row>
    <row r="156" spans="18:57">
      <c r="R156" s="2" t="s">
        <v>1617</v>
      </c>
      <c r="S156" s="844">
        <v>0.14000000000000001</v>
      </c>
      <c r="T156" s="878">
        <f t="shared" si="27"/>
        <v>0.84628571428571431</v>
      </c>
      <c r="U156" s="878">
        <f t="shared" si="27"/>
        <v>0.76957142857142857</v>
      </c>
      <c r="V156" s="878">
        <f t="shared" si="27"/>
        <v>0.94285714285714284</v>
      </c>
      <c r="W156" s="879">
        <f t="shared" si="27"/>
        <v>0.85442857142857143</v>
      </c>
      <c r="AN156" s="2">
        <v>11</v>
      </c>
      <c r="AO156" s="885">
        <v>430.4</v>
      </c>
      <c r="AP156" s="1267">
        <v>7.5999999999999998E-2</v>
      </c>
      <c r="AQ156" s="1268"/>
      <c r="AR156" s="885"/>
      <c r="AS156" s="1267"/>
      <c r="AT156" s="1268"/>
      <c r="AU156" s="885"/>
      <c r="AV156" s="1267"/>
      <c r="AW156" s="1268"/>
      <c r="AX156" s="885"/>
      <c r="AY156" s="1267"/>
      <c r="AZ156" s="1268"/>
      <c r="BA156" s="885"/>
      <c r="BB156" s="1267"/>
      <c r="BC156" s="1268"/>
      <c r="BD156" s="25"/>
      <c r="BE156" s="25"/>
    </row>
    <row r="157" spans="18:57">
      <c r="R157" s="2" t="s">
        <v>1617</v>
      </c>
      <c r="S157" s="844">
        <v>0.15</v>
      </c>
      <c r="T157" s="877">
        <v>0.84499999999999997</v>
      </c>
      <c r="U157" s="877">
        <v>0.76500000000000001</v>
      </c>
      <c r="V157" s="877">
        <v>0.94099999999999995</v>
      </c>
      <c r="W157" s="877">
        <v>0.84799999999999998</v>
      </c>
      <c r="AN157" s="2">
        <v>12</v>
      </c>
      <c r="AO157" s="885">
        <f>((($AN$157-$AN$156)*(AO158-AO156))/($AN$158-$AN$156))+AO156</f>
        <v>462.1</v>
      </c>
      <c r="AP157" s="1267">
        <f>((($AN$157-$AN$156)*(AP158-AP156))/($AN$158-$AN$156))+AP156</f>
        <v>8.1499999999999989E-2</v>
      </c>
      <c r="AQ157" s="1268"/>
      <c r="AR157" s="885">
        <f>((($AN$157-$AN$156)*(AR158-AR156))/($AN$158-$AN$156))+AR156</f>
        <v>31.7</v>
      </c>
      <c r="AS157" s="1267">
        <f>((($AN$157-$AN$156)*(AS158-AS156))/($AN$158-$AN$156))+AS156</f>
        <v>5.4999999999999997E-3</v>
      </c>
      <c r="AT157" s="1268"/>
      <c r="AU157" s="885">
        <f>((($AN$157-$AN$156)*(AU158-AU156))/($AN$158-$AN$156))+AU156</f>
        <v>0</v>
      </c>
      <c r="AV157" s="1267">
        <f>((($AN$157-$AN$156)*(AV158-AV156))/($AN$158-$AN$156))+AV156</f>
        <v>0</v>
      </c>
      <c r="AW157" s="1268"/>
      <c r="AX157" s="885">
        <f>((($AN$157-$AN$156)*(AX158-AX156))/($AN$158-$AN$156))+AX156</f>
        <v>0</v>
      </c>
      <c r="AY157" s="1267">
        <f>((($AN$157-$AN$156)*(AY158-AY156))/($AN$158-$AN$156))+AY156</f>
        <v>0</v>
      </c>
      <c r="AZ157" s="1268"/>
      <c r="BA157" s="885">
        <f>((($AN$157-$AN$156)*(BA158-BA156))/($AN$158-$AN$156))+BA156</f>
        <v>0</v>
      </c>
      <c r="BB157" s="1267">
        <f>((($AN$157-$AN$156)*(BB158-BB156))/($AN$158-$AN$156))+BB156</f>
        <v>0</v>
      </c>
      <c r="BC157" s="1268"/>
      <c r="BD157" s="25"/>
      <c r="BE157" s="25"/>
    </row>
    <row r="158" spans="18:57">
      <c r="R158" s="2" t="s">
        <v>1617</v>
      </c>
      <c r="S158" s="844">
        <v>0.16</v>
      </c>
      <c r="T158" s="878">
        <f t="shared" ref="T158:W161" si="28">((($S158-$S$157)*(T$162-T$157))/($S$162-$S$157))+T$157</f>
        <v>0.84339999999999993</v>
      </c>
      <c r="U158" s="878">
        <f t="shared" si="28"/>
        <v>0.76060000000000005</v>
      </c>
      <c r="V158" s="878">
        <f t="shared" si="28"/>
        <v>0.93899999999999995</v>
      </c>
      <c r="W158" s="879">
        <f t="shared" si="28"/>
        <v>0.84199999999999997</v>
      </c>
      <c r="AN158" s="2">
        <v>13</v>
      </c>
      <c r="AO158" s="885">
        <v>493.8</v>
      </c>
      <c r="AP158" s="1267">
        <v>8.6999999999999994E-2</v>
      </c>
      <c r="AQ158" s="1268"/>
      <c r="AR158" s="885">
        <v>63.4</v>
      </c>
      <c r="AS158" s="1267">
        <v>1.0999999999999999E-2</v>
      </c>
      <c r="AT158" s="1268"/>
      <c r="AU158" s="885"/>
      <c r="AV158" s="1267"/>
      <c r="AW158" s="1268"/>
      <c r="AX158" s="885"/>
      <c r="AY158" s="1267"/>
      <c r="AZ158" s="1268"/>
      <c r="BA158" s="885"/>
      <c r="BB158" s="1267"/>
      <c r="BC158" s="1268"/>
      <c r="BD158" s="25"/>
      <c r="BE158" s="25"/>
    </row>
    <row r="159" spans="18:57">
      <c r="R159" s="2" t="s">
        <v>1617</v>
      </c>
      <c r="S159" s="844">
        <v>0.17</v>
      </c>
      <c r="T159" s="878">
        <f t="shared" si="28"/>
        <v>0.84179999999999999</v>
      </c>
      <c r="U159" s="878">
        <f t="shared" si="28"/>
        <v>0.75619999999999998</v>
      </c>
      <c r="V159" s="878">
        <f t="shared" si="28"/>
        <v>0.93699999999999994</v>
      </c>
      <c r="W159" s="879">
        <f t="shared" si="28"/>
        <v>0.83599999999999997</v>
      </c>
      <c r="AN159" s="2">
        <v>14</v>
      </c>
      <c r="AO159" s="885">
        <f t="shared" ref="AO159:AP161" si="29">((($AN159-$AN$158)*(AO$162-AO$158))/($AN$162-$AN$158))+AO$158</f>
        <v>518</v>
      </c>
      <c r="AP159" s="1267">
        <f t="shared" si="29"/>
        <v>8.9749999999999996E-2</v>
      </c>
      <c r="AQ159" s="1268"/>
      <c r="AR159" s="885">
        <f t="shared" ref="AR159:AS161" si="30">((($AN159-$AN$158)*(AR$162-AR$158))/($AN$162-$AN$158))+AR$158</f>
        <v>87.6</v>
      </c>
      <c r="AS159" s="1267">
        <f t="shared" si="30"/>
        <v>1.3749999999999998E-2</v>
      </c>
      <c r="AT159" s="1268"/>
      <c r="AU159" s="885">
        <f>((($AN159-$AN$158)*(AU$162-AU$158))/($AN$162-$AN$158))+AU$158</f>
        <v>24.2</v>
      </c>
      <c r="AV159" s="1267">
        <f>((($AN159-$AN$158)*(AV$162-AV$158))/($AN$162-$AN$158))+AV$158</f>
        <v>2.7499999999999998E-3</v>
      </c>
      <c r="AW159" s="1268"/>
      <c r="AX159" s="885">
        <f t="shared" ref="AX159:AY161" si="31">((($AN159-$AN$158)*(AX$162-AX$158))/($AN$162-$AN$158))+AX$158</f>
        <v>0</v>
      </c>
      <c r="AY159" s="1267">
        <f t="shared" si="31"/>
        <v>0</v>
      </c>
      <c r="AZ159" s="1268"/>
      <c r="BA159" s="885">
        <f t="shared" ref="BA159:BB161" si="32">((($AN159-$AN$158)*(BA$162-BA$158))/($AN$162-$AN$158))+BA$158</f>
        <v>0</v>
      </c>
      <c r="BB159" s="1267">
        <f t="shared" si="32"/>
        <v>0</v>
      </c>
      <c r="BC159" s="1268"/>
      <c r="BD159" s="25"/>
      <c r="BE159" s="25"/>
    </row>
    <row r="160" spans="18:57">
      <c r="R160" s="2" t="s">
        <v>1617</v>
      </c>
      <c r="S160" s="844">
        <v>0.18</v>
      </c>
      <c r="T160" s="878">
        <f t="shared" si="28"/>
        <v>0.84019999999999995</v>
      </c>
      <c r="U160" s="878">
        <f t="shared" si="28"/>
        <v>0.75180000000000002</v>
      </c>
      <c r="V160" s="878">
        <f t="shared" si="28"/>
        <v>0.93500000000000005</v>
      </c>
      <c r="W160" s="879">
        <f t="shared" si="28"/>
        <v>0.83</v>
      </c>
      <c r="AN160" s="2">
        <v>15</v>
      </c>
      <c r="AO160" s="885">
        <f t="shared" si="29"/>
        <v>542.20000000000005</v>
      </c>
      <c r="AP160" s="1267">
        <f t="shared" si="29"/>
        <v>9.2499999999999999E-2</v>
      </c>
      <c r="AQ160" s="1268"/>
      <c r="AR160" s="885">
        <f t="shared" si="30"/>
        <v>111.79999999999998</v>
      </c>
      <c r="AS160" s="1267">
        <f t="shared" si="30"/>
        <v>1.6500000000000001E-2</v>
      </c>
      <c r="AT160" s="1268"/>
      <c r="AU160" s="885">
        <f>((($AN160-$AN$158)*(AU$162-AU$158))/($AN$162-$AN$158))+AU$158</f>
        <v>48.4</v>
      </c>
      <c r="AV160" s="1267">
        <f>((($AN160-$AN$158)*(AV$162-AV$158))/($AN$162-$AN$158))+AV$158</f>
        <v>5.4999999999999997E-3</v>
      </c>
      <c r="AW160" s="1268"/>
      <c r="AX160" s="885">
        <f t="shared" si="31"/>
        <v>0</v>
      </c>
      <c r="AY160" s="1267">
        <f t="shared" si="31"/>
        <v>0</v>
      </c>
      <c r="AZ160" s="1268"/>
      <c r="BA160" s="885">
        <f t="shared" si="32"/>
        <v>0</v>
      </c>
      <c r="BB160" s="1267">
        <f t="shared" si="32"/>
        <v>0</v>
      </c>
      <c r="BC160" s="1268"/>
      <c r="BD160" s="25"/>
      <c r="BE160" s="25"/>
    </row>
    <row r="161" spans="18:57">
      <c r="R161" s="2" t="s">
        <v>1617</v>
      </c>
      <c r="S161" s="844">
        <v>0.19</v>
      </c>
      <c r="T161" s="878">
        <f t="shared" si="28"/>
        <v>0.83860000000000001</v>
      </c>
      <c r="U161" s="878">
        <f t="shared" si="28"/>
        <v>0.74739999999999995</v>
      </c>
      <c r="V161" s="878">
        <f t="shared" si="28"/>
        <v>0.93300000000000005</v>
      </c>
      <c r="W161" s="879">
        <f t="shared" si="28"/>
        <v>0.82399999999999995</v>
      </c>
      <c r="AN161" s="2">
        <v>16</v>
      </c>
      <c r="AO161" s="885">
        <f t="shared" si="29"/>
        <v>566.4</v>
      </c>
      <c r="AP161" s="1267">
        <f t="shared" si="29"/>
        <v>9.5250000000000001E-2</v>
      </c>
      <c r="AQ161" s="1268"/>
      <c r="AR161" s="885">
        <f t="shared" si="30"/>
        <v>136</v>
      </c>
      <c r="AS161" s="1267">
        <f t="shared" si="30"/>
        <v>1.925E-2</v>
      </c>
      <c r="AT161" s="1268"/>
      <c r="AU161" s="885">
        <f>((($AN161-$AN$158)*(AU$162-AU$158))/($AN$162-$AN$158))+AU$158</f>
        <v>72.599999999999994</v>
      </c>
      <c r="AV161" s="1267" t="e">
        <f>((($AN161-$AN$158)*(AV$162-#REF!))/($AN$162-$AN$158))+AV$158</f>
        <v>#REF!</v>
      </c>
      <c r="AW161" s="1268"/>
      <c r="AX161" s="885">
        <f t="shared" si="31"/>
        <v>0</v>
      </c>
      <c r="AY161" s="1267">
        <f t="shared" si="31"/>
        <v>0</v>
      </c>
      <c r="AZ161" s="1268"/>
      <c r="BA161" s="885">
        <f t="shared" si="32"/>
        <v>0</v>
      </c>
      <c r="BB161" s="1267">
        <f t="shared" si="32"/>
        <v>0</v>
      </c>
      <c r="BC161" s="1268"/>
      <c r="BD161" s="25"/>
      <c r="BE161" s="25"/>
    </row>
    <row r="162" spans="18:57">
      <c r="R162" s="2" t="s">
        <v>1617</v>
      </c>
      <c r="S162" s="844">
        <v>0.2</v>
      </c>
      <c r="T162" s="877">
        <v>0.83699999999999997</v>
      </c>
      <c r="U162" s="877">
        <v>0.74299999999999999</v>
      </c>
      <c r="V162" s="877">
        <v>0.93100000000000005</v>
      </c>
      <c r="W162" s="877">
        <v>0.81799999999999995</v>
      </c>
      <c r="AN162" s="2">
        <v>17</v>
      </c>
      <c r="AO162" s="885">
        <v>590.6</v>
      </c>
      <c r="AP162" s="1267">
        <v>9.8000000000000004E-2</v>
      </c>
      <c r="AQ162" s="1268"/>
      <c r="AR162" s="885">
        <v>160.19999999999999</v>
      </c>
      <c r="AS162" s="1267">
        <v>2.1999999999999999E-2</v>
      </c>
      <c r="AT162" s="1268"/>
      <c r="AU162" s="885">
        <v>96.8</v>
      </c>
      <c r="AV162" s="1267">
        <v>1.0999999999999999E-2</v>
      </c>
      <c r="AW162" s="1268"/>
      <c r="AX162" s="885"/>
      <c r="AY162" s="1267"/>
      <c r="AZ162" s="1268"/>
      <c r="BA162" s="885"/>
      <c r="BB162" s="1267"/>
      <c r="BC162" s="1268"/>
      <c r="BD162" s="25"/>
      <c r="BE162" s="25"/>
    </row>
    <row r="163" spans="18:57">
      <c r="R163" s="2" t="s">
        <v>1617</v>
      </c>
      <c r="S163" s="844">
        <v>0.21</v>
      </c>
      <c r="T163" s="878">
        <f t="shared" ref="T163:W166" si="33">((($S163-$S$162)*(T$167-T$162))/($S$167-$S$162))+T$162</f>
        <v>0.83539999999999992</v>
      </c>
      <c r="U163" s="878">
        <f t="shared" si="33"/>
        <v>0.73860000000000003</v>
      </c>
      <c r="V163" s="878">
        <f t="shared" si="33"/>
        <v>0.92860000000000009</v>
      </c>
      <c r="W163" s="879">
        <f t="shared" si="33"/>
        <v>0.81219999999999992</v>
      </c>
      <c r="AN163" s="2">
        <v>18</v>
      </c>
      <c r="AO163" s="885">
        <f>((($AN$163-$AN$162)*(AO164-AO162))/($AN$164-$AN$162))+AO162</f>
        <v>608.35</v>
      </c>
      <c r="AP163" s="1267">
        <f>((($AN$163-$AN$162)*(AP164-AP162))/($AN$164-$AN$162))+AP162</f>
        <v>0.10300000000000001</v>
      </c>
      <c r="AQ163" s="1268"/>
      <c r="AR163" s="885">
        <f>((($AN$163-$AN$162)*(AR164-AR162))/($AN$164-$AN$162))+AR162</f>
        <v>177.89999999999998</v>
      </c>
      <c r="AS163" s="1267">
        <f>((($AN$163-$AN$162)*(AS164-AS162))/($AN$164-$AN$162))+AS162</f>
        <v>2.75E-2</v>
      </c>
      <c r="AT163" s="1268"/>
      <c r="AU163" s="885">
        <f>((($AN$163-$AN$162)*(AU164-AU162))/($AN$164-$AN$162))+AU162</f>
        <v>114.5</v>
      </c>
      <c r="AV163" s="1267">
        <f>((($AN$163-$AN$162)*(AV164-AV162))/($AN$164-$AN$162))+AV162</f>
        <v>1.6500000000000001E-2</v>
      </c>
      <c r="AW163" s="1268"/>
      <c r="AX163" s="885">
        <f>((($AN$163-$AN$162)*(AX164-AX162))/($AN$164-$AN$162))+AX162</f>
        <v>27.15</v>
      </c>
      <c r="AY163" s="1267">
        <f>((($AN$163-$AN$162)*(AY164-AY162))/($AN$164-$AN$162))+AY162</f>
        <v>5.4999999999999997E-3</v>
      </c>
      <c r="AZ163" s="1268"/>
      <c r="BA163" s="885">
        <f>((($AN$163-$AN$162)*(BA164-BA162))/($AN$164-$AN$162))+BA162</f>
        <v>0</v>
      </c>
      <c r="BB163" s="1267">
        <f>((($AN$163-$AN$162)*(BB164-BB162))/($AN$164-$AN$162))+BB162</f>
        <v>0</v>
      </c>
      <c r="BC163" s="1268"/>
      <c r="BD163" s="25"/>
      <c r="BE163" s="25"/>
    </row>
    <row r="164" spans="18:57">
      <c r="R164" s="2" t="s">
        <v>1617</v>
      </c>
      <c r="S164" s="844">
        <v>0.22</v>
      </c>
      <c r="T164" s="878">
        <f t="shared" si="33"/>
        <v>0.83379999999999999</v>
      </c>
      <c r="U164" s="878">
        <f t="shared" si="33"/>
        <v>0.73419999999999996</v>
      </c>
      <c r="V164" s="878">
        <f t="shared" si="33"/>
        <v>0.92620000000000002</v>
      </c>
      <c r="W164" s="879">
        <f t="shared" si="33"/>
        <v>0.80640000000000001</v>
      </c>
      <c r="AN164" s="2">
        <v>19</v>
      </c>
      <c r="AO164" s="885">
        <v>626.1</v>
      </c>
      <c r="AP164" s="1267">
        <v>0.108</v>
      </c>
      <c r="AQ164" s="1268"/>
      <c r="AR164" s="885">
        <v>195.6</v>
      </c>
      <c r="AS164" s="1267">
        <v>3.3000000000000002E-2</v>
      </c>
      <c r="AT164" s="1268"/>
      <c r="AU164" s="885">
        <v>132.19999999999999</v>
      </c>
      <c r="AV164" s="1267">
        <v>2.1999999999999999E-2</v>
      </c>
      <c r="AW164" s="1268"/>
      <c r="AX164" s="885">
        <v>54.3</v>
      </c>
      <c r="AY164" s="1267">
        <v>1.0999999999999999E-2</v>
      </c>
      <c r="AZ164" s="1268"/>
      <c r="BA164" s="885"/>
      <c r="BB164" s="1267"/>
      <c r="BC164" s="1268"/>
      <c r="BD164" s="25"/>
      <c r="BE164" s="25"/>
    </row>
    <row r="165" spans="18:57">
      <c r="R165" s="2" t="s">
        <v>1617</v>
      </c>
      <c r="S165" s="844">
        <v>0.23</v>
      </c>
      <c r="T165" s="878">
        <f t="shared" si="33"/>
        <v>0.83219999999999994</v>
      </c>
      <c r="U165" s="878">
        <f t="shared" si="33"/>
        <v>0.7298</v>
      </c>
      <c r="V165" s="878">
        <f t="shared" si="33"/>
        <v>0.92380000000000007</v>
      </c>
      <c r="W165" s="879">
        <f t="shared" si="33"/>
        <v>0.80059999999999998</v>
      </c>
      <c r="AN165" s="2">
        <v>20</v>
      </c>
      <c r="AO165" s="885">
        <f>((($AN$165-$AN$164)*(AO166-AO164))/($AN$166-$AN$164))+AO164</f>
        <v>640.45000000000005</v>
      </c>
      <c r="AP165" s="1267">
        <f>((($AN$165-$AN$164)*(AP166-AP164))/($AN$166-$AN$164))+AP164</f>
        <v>0.108</v>
      </c>
      <c r="AQ165" s="1268"/>
      <c r="AR165" s="885">
        <f>((($AN$165-$AN$164)*(AR166-AR164))/($AN$166-$AN$164))+AR164</f>
        <v>210</v>
      </c>
      <c r="AS165" s="1267">
        <f>((($AN$165-$AN$164)*(AS166-AS164))/($AN$166-$AN$164))+AS164</f>
        <v>3.3000000000000002E-2</v>
      </c>
      <c r="AT165" s="1268"/>
      <c r="AU165" s="885">
        <f>((($AN$165-$AN$164)*(AU166-AU164))/($AN$166-$AN$164))+AU164</f>
        <v>146.6</v>
      </c>
      <c r="AV165" s="1267">
        <f>((($AN$165-$AN$164)*(AV166-AV164))/($AN$166-$AN$164))+AV164</f>
        <v>2.1999999999999999E-2</v>
      </c>
      <c r="AW165" s="1268"/>
      <c r="AX165" s="885">
        <f>((($AN$165-$AN$164)*(AX166-AX164))/($AN$166-$AN$164))+AX164</f>
        <v>59.25</v>
      </c>
      <c r="AY165" s="1267">
        <f>((($AN$165-$AN$164)*(AY166-AY164))/($AN$166-$AN$164))+AY164</f>
        <v>1.0999999999999999E-2</v>
      </c>
      <c r="AZ165" s="1268"/>
      <c r="BA165" s="885">
        <f>((($AN$165-$AN$164)*(BA166-BA164))/($AN$166-$AN$164))+BA164</f>
        <v>14.35</v>
      </c>
      <c r="BB165" s="1267">
        <f>((($AN$165-$AN$164)*(BB166-BB164))/($AN$166-$AN$164))+BB164</f>
        <v>0</v>
      </c>
      <c r="BC165" s="1268"/>
      <c r="BD165" s="25"/>
      <c r="BE165" s="25"/>
    </row>
    <row r="166" spans="18:57">
      <c r="R166" s="2" t="s">
        <v>1617</v>
      </c>
      <c r="S166" s="844">
        <v>0.24</v>
      </c>
      <c r="T166" s="878">
        <f t="shared" si="33"/>
        <v>0.8306</v>
      </c>
      <c r="U166" s="878">
        <f t="shared" si="33"/>
        <v>0.72539999999999993</v>
      </c>
      <c r="V166" s="878">
        <f t="shared" si="33"/>
        <v>0.9214</v>
      </c>
      <c r="W166" s="879">
        <f t="shared" si="33"/>
        <v>0.79480000000000006</v>
      </c>
      <c r="AN166" s="2">
        <v>21</v>
      </c>
      <c r="AO166" s="885">
        <v>654.79999999999995</v>
      </c>
      <c r="AP166" s="1267">
        <v>0.108</v>
      </c>
      <c r="AQ166" s="1268"/>
      <c r="AR166" s="885">
        <v>224.4</v>
      </c>
      <c r="AS166" s="1267">
        <v>3.3000000000000002E-2</v>
      </c>
      <c r="AT166" s="1268"/>
      <c r="AU166" s="885">
        <v>161</v>
      </c>
      <c r="AV166" s="1267">
        <v>2.1999999999999999E-2</v>
      </c>
      <c r="AW166" s="1268"/>
      <c r="AX166" s="885">
        <v>64.2</v>
      </c>
      <c r="AY166" s="1267">
        <v>1.0999999999999999E-2</v>
      </c>
      <c r="AZ166" s="1268"/>
      <c r="BA166" s="885">
        <v>28.7</v>
      </c>
      <c r="BB166" s="1267">
        <v>0</v>
      </c>
      <c r="BC166" s="1268"/>
      <c r="BD166" s="25"/>
      <c r="BE166" s="25"/>
    </row>
    <row r="167" spans="18:57">
      <c r="R167" s="2" t="s">
        <v>1617</v>
      </c>
      <c r="S167" s="844">
        <v>0.25</v>
      </c>
      <c r="T167" s="877">
        <v>0.82899999999999996</v>
      </c>
      <c r="U167" s="877">
        <v>0.72099999999999997</v>
      </c>
      <c r="V167" s="877">
        <v>0.91900000000000004</v>
      </c>
      <c r="W167" s="877">
        <v>0.78900000000000003</v>
      </c>
      <c r="AN167" s="2">
        <v>22</v>
      </c>
      <c r="AO167" s="885">
        <f t="shared" ref="AO167:AP169" si="34">((($AN167-$AN$166)*(AO$170-AO$166))/($AN$170-$AN$166))+AO$166</f>
        <v>665.8</v>
      </c>
      <c r="AP167" s="1267">
        <f t="shared" si="34"/>
        <v>0.108</v>
      </c>
      <c r="AQ167" s="1268"/>
      <c r="AR167" s="885">
        <f t="shared" ref="AR167:AS169" si="35">((($AN167-$AN$166)*(AR$170-AR$166))/($AN$170-$AN$166))+AR$166</f>
        <v>235.4</v>
      </c>
      <c r="AS167" s="1267">
        <f t="shared" si="35"/>
        <v>3.3000000000000002E-2</v>
      </c>
      <c r="AT167" s="1268"/>
      <c r="AU167" s="885">
        <f t="shared" ref="AU167:AV169" si="36">((($AN167-$AN$166)*(AU$170-AU$166))/($AN$170-$AN$166))+AU$166</f>
        <v>172</v>
      </c>
      <c r="AV167" s="1267">
        <f t="shared" si="36"/>
        <v>2.1999999999999999E-2</v>
      </c>
      <c r="AW167" s="1268"/>
      <c r="AX167" s="885">
        <f t="shared" ref="AX167:AY169" si="37">((($AN167-$AN$166)*(AX$170-AX$166))/($AN$170-$AN$166))+AX$166</f>
        <v>75.2</v>
      </c>
      <c r="AY167" s="1267">
        <f t="shared" si="37"/>
        <v>1.0999999999999999E-2</v>
      </c>
      <c r="AZ167" s="1268"/>
      <c r="BA167" s="885">
        <f t="shared" ref="BA167:BB169" si="38">((($AN167-$AN$166)*(BA$170-BA$166))/($AN$170-$AN$166))+BA$166</f>
        <v>39.700000000000003</v>
      </c>
      <c r="BB167" s="1267">
        <f t="shared" si="38"/>
        <v>0</v>
      </c>
      <c r="BC167" s="1268"/>
      <c r="BD167" s="25"/>
      <c r="BE167" s="25"/>
    </row>
    <row r="168" spans="18:57">
      <c r="R168" s="2" t="s">
        <v>1617</v>
      </c>
      <c r="S168" s="844">
        <v>0.26</v>
      </c>
      <c r="T168" s="878">
        <f t="shared" ref="T168:W171" si="39">((($S168-$S$167)*(T$172-T$167))/($S$172-$S$167))+T$167</f>
        <v>0.82719999999999994</v>
      </c>
      <c r="U168" s="878">
        <f t="shared" si="39"/>
        <v>0.71699999999999997</v>
      </c>
      <c r="V168" s="878">
        <f t="shared" si="39"/>
        <v>0.91660000000000008</v>
      </c>
      <c r="W168" s="879">
        <f t="shared" si="39"/>
        <v>0.78380000000000005</v>
      </c>
      <c r="AN168" s="2">
        <v>23</v>
      </c>
      <c r="AO168" s="885">
        <f t="shared" si="34"/>
        <v>676.8</v>
      </c>
      <c r="AP168" s="1267">
        <f t="shared" si="34"/>
        <v>0.108</v>
      </c>
      <c r="AQ168" s="1268"/>
      <c r="AR168" s="885">
        <f t="shared" si="35"/>
        <v>246.39999999999998</v>
      </c>
      <c r="AS168" s="1267">
        <f t="shared" si="35"/>
        <v>3.3000000000000002E-2</v>
      </c>
      <c r="AT168" s="1268"/>
      <c r="AU168" s="885">
        <f t="shared" si="36"/>
        <v>183</v>
      </c>
      <c r="AV168" s="1267">
        <f t="shared" si="36"/>
        <v>2.1999999999999999E-2</v>
      </c>
      <c r="AW168" s="1268"/>
      <c r="AX168" s="885">
        <f t="shared" si="37"/>
        <v>86.2</v>
      </c>
      <c r="AY168" s="1267">
        <f t="shared" si="37"/>
        <v>1.0999999999999999E-2</v>
      </c>
      <c r="AZ168" s="1268"/>
      <c r="BA168" s="885">
        <f t="shared" si="38"/>
        <v>50.7</v>
      </c>
      <c r="BB168" s="1267">
        <f t="shared" si="38"/>
        <v>0</v>
      </c>
      <c r="BC168" s="1268"/>
      <c r="BD168" s="25"/>
      <c r="BE168" s="25"/>
    </row>
    <row r="169" spans="18:57">
      <c r="R169" s="2" t="s">
        <v>1617</v>
      </c>
      <c r="S169" s="844">
        <v>0.27</v>
      </c>
      <c r="T169" s="878">
        <f t="shared" si="39"/>
        <v>0.82539999999999991</v>
      </c>
      <c r="U169" s="878">
        <f t="shared" si="39"/>
        <v>0.71299999999999997</v>
      </c>
      <c r="V169" s="878">
        <f t="shared" si="39"/>
        <v>0.91420000000000001</v>
      </c>
      <c r="W169" s="879">
        <f t="shared" si="39"/>
        <v>0.77859999999999996</v>
      </c>
      <c r="AN169" s="2">
        <v>24</v>
      </c>
      <c r="AO169" s="885">
        <f t="shared" si="34"/>
        <v>687.8</v>
      </c>
      <c r="AP169" s="1267">
        <f t="shared" si="34"/>
        <v>0.108</v>
      </c>
      <c r="AQ169" s="1268"/>
      <c r="AR169" s="885">
        <f t="shared" si="35"/>
        <v>257.39999999999998</v>
      </c>
      <c r="AS169" s="1267">
        <f t="shared" si="35"/>
        <v>3.3000000000000002E-2</v>
      </c>
      <c r="AT169" s="1268"/>
      <c r="AU169" s="885">
        <f t="shared" si="36"/>
        <v>194</v>
      </c>
      <c r="AV169" s="1267">
        <f t="shared" si="36"/>
        <v>2.1999999999999999E-2</v>
      </c>
      <c r="AW169" s="1268"/>
      <c r="AX169" s="885">
        <f t="shared" si="37"/>
        <v>97.2</v>
      </c>
      <c r="AY169" s="1267">
        <f t="shared" si="37"/>
        <v>1.0999999999999999E-2</v>
      </c>
      <c r="AZ169" s="1268"/>
      <c r="BA169" s="885">
        <f t="shared" si="38"/>
        <v>61.7</v>
      </c>
      <c r="BB169" s="1267">
        <f t="shared" si="38"/>
        <v>0</v>
      </c>
      <c r="BC169" s="1268"/>
    </row>
    <row r="170" spans="18:57">
      <c r="R170" s="2" t="s">
        <v>1617</v>
      </c>
      <c r="S170" s="844">
        <v>0.28000000000000003</v>
      </c>
      <c r="T170" s="878">
        <f t="shared" si="39"/>
        <v>0.8236</v>
      </c>
      <c r="U170" s="878">
        <f t="shared" si="39"/>
        <v>0.70899999999999996</v>
      </c>
      <c r="V170" s="878">
        <f t="shared" si="39"/>
        <v>0.91180000000000005</v>
      </c>
      <c r="W170" s="879">
        <f t="shared" si="39"/>
        <v>0.77339999999999998</v>
      </c>
      <c r="AN170" s="2">
        <v>25</v>
      </c>
      <c r="AO170" s="885">
        <v>698.8</v>
      </c>
      <c r="AP170" s="1267">
        <v>0.108</v>
      </c>
      <c r="AQ170" s="1268"/>
      <c r="AR170" s="885">
        <v>268.39999999999998</v>
      </c>
      <c r="AS170" s="1267">
        <v>3.3000000000000002E-2</v>
      </c>
      <c r="AT170" s="1268"/>
      <c r="AU170" s="885">
        <v>205</v>
      </c>
      <c r="AV170" s="1267">
        <v>2.1999999999999999E-2</v>
      </c>
      <c r="AW170" s="1268"/>
      <c r="AX170" s="885">
        <v>108.2</v>
      </c>
      <c r="AY170" s="1267">
        <v>1.0999999999999999E-2</v>
      </c>
      <c r="AZ170" s="1268"/>
      <c r="BA170" s="885">
        <v>72.7</v>
      </c>
      <c r="BB170" s="1267">
        <v>0</v>
      </c>
      <c r="BC170" s="1268"/>
    </row>
    <row r="171" spans="18:57">
      <c r="R171" s="2" t="s">
        <v>1617</v>
      </c>
      <c r="S171" s="844">
        <v>0.28999999999999998</v>
      </c>
      <c r="T171" s="878">
        <f t="shared" si="39"/>
        <v>0.82179999999999997</v>
      </c>
      <c r="U171" s="878">
        <f t="shared" si="39"/>
        <v>0.70499999999999996</v>
      </c>
      <c r="V171" s="878">
        <f t="shared" si="39"/>
        <v>0.90939999999999999</v>
      </c>
      <c r="W171" s="879">
        <f t="shared" si="39"/>
        <v>0.76819999999999999</v>
      </c>
      <c r="AN171" s="2">
        <v>26</v>
      </c>
      <c r="AO171" s="885">
        <f>((($AN$171-$AN$170)*(AO172-AO170))/($AN$172-$AN$170))+AO170</f>
        <v>708</v>
      </c>
      <c r="AP171" s="1267">
        <f>((($AN$171-$AN$170)*(AP172-AP170))/($AN$172-$AN$170))+AP170</f>
        <v>0.11349999999999999</v>
      </c>
      <c r="AQ171" s="1268"/>
      <c r="AR171" s="885">
        <f>((($AN$171-$AN$170)*(AR172-AR170))/($AN$172-$AN$170))+AR170</f>
        <v>277.60000000000002</v>
      </c>
      <c r="AS171" s="1267">
        <f>((($AN$171-$AN$170)*(AS172-AS170))/($AN$172-$AN$170))+AS170</f>
        <v>3.7999999999999999E-2</v>
      </c>
      <c r="AT171" s="1268"/>
      <c r="AU171" s="885">
        <f>((($AN$171-$AN$170)*(AU172-AU170))/($AN$172-$AN$170))+AU170</f>
        <v>165.5</v>
      </c>
      <c r="AV171" s="1267">
        <f>((($AN$171-$AN$170)*(AV172-AV170))/($AN$172-$AN$170))+AV170</f>
        <v>2.75E-2</v>
      </c>
      <c r="AW171" s="1268"/>
      <c r="AX171" s="885">
        <f>((($AN$171-$AN$170)*(AX172-AX170))/($AN$172-$AN$170))+AX170</f>
        <v>117.4</v>
      </c>
      <c r="AY171" s="1267">
        <f>((($AN$171-$AN$170)*(AY172-AY170))/($AN$172-$AN$170))+AY170</f>
        <v>1.6500000000000001E-2</v>
      </c>
      <c r="AZ171" s="1268"/>
      <c r="BA171" s="885">
        <f>((($AN$171-$AN$170)*(BA172-BA170))/($AN$172-$AN$170))+BA170</f>
        <v>81.95</v>
      </c>
      <c r="BB171" s="1267">
        <f>((($AN$171-$AN$170)*(BB172-BB170))/($AN$172-$AN$170))+BB170</f>
        <v>5.4999999999999997E-3</v>
      </c>
      <c r="BC171" s="1268"/>
      <c r="BD171" s="99"/>
      <c r="BE171" s="99"/>
    </row>
    <row r="172" spans="18:57">
      <c r="R172" s="2" t="s">
        <v>1617</v>
      </c>
      <c r="S172" s="844">
        <v>0.3</v>
      </c>
      <c r="T172" s="877">
        <v>0.82</v>
      </c>
      <c r="U172" s="877">
        <v>0.70099999999999996</v>
      </c>
      <c r="V172" s="877">
        <v>0.90700000000000003</v>
      </c>
      <c r="W172" s="877">
        <v>0.76300000000000001</v>
      </c>
      <c r="AN172" s="2">
        <v>27</v>
      </c>
      <c r="AO172" s="885">
        <v>717.2</v>
      </c>
      <c r="AP172" s="1267">
        <v>0.11899999999999999</v>
      </c>
      <c r="AQ172" s="1268"/>
      <c r="AR172" s="885">
        <v>286.8</v>
      </c>
      <c r="AS172" s="1267">
        <v>4.2999999999999997E-2</v>
      </c>
      <c r="AT172" s="1268"/>
      <c r="AU172" s="885">
        <v>126</v>
      </c>
      <c r="AV172" s="1267">
        <v>3.3000000000000002E-2</v>
      </c>
      <c r="AW172" s="1268"/>
      <c r="AX172" s="885">
        <v>126.6</v>
      </c>
      <c r="AY172" s="1267">
        <v>2.1999999999999999E-2</v>
      </c>
      <c r="AZ172" s="1268"/>
      <c r="BA172" s="885">
        <v>91.2</v>
      </c>
      <c r="BB172" s="1267">
        <v>1.0999999999999999E-2</v>
      </c>
      <c r="BC172" s="1268"/>
    </row>
    <row r="173" spans="18:57">
      <c r="R173" s="2" t="s">
        <v>1629</v>
      </c>
      <c r="S173" s="844">
        <v>0</v>
      </c>
      <c r="T173" s="877">
        <v>0.83799999999999997</v>
      </c>
      <c r="U173" s="877">
        <v>0.61399999999999999</v>
      </c>
      <c r="V173" s="877">
        <v>0.93100000000000005</v>
      </c>
      <c r="W173" s="877">
        <v>0.76700000000000002</v>
      </c>
    </row>
    <row r="174" spans="18:57">
      <c r="R174" s="2" t="s">
        <v>1629</v>
      </c>
      <c r="S174" s="844">
        <v>0.08</v>
      </c>
      <c r="T174" s="877">
        <v>0.83799999999999997</v>
      </c>
      <c r="U174" s="877">
        <v>0.61399999999999999</v>
      </c>
      <c r="V174" s="877">
        <v>0.93100000000000005</v>
      </c>
      <c r="W174" s="877">
        <v>0.76700000000000002</v>
      </c>
    </row>
    <row r="175" spans="18:57">
      <c r="R175" s="2" t="s">
        <v>1629</v>
      </c>
      <c r="S175" s="844">
        <v>0.09</v>
      </c>
      <c r="T175" s="878">
        <f t="shared" ref="T175:W180" si="40">((($S175-$S$174)*(T$181-T$174))/($S$181-$S$174))+T$174</f>
        <v>0.83642857142857141</v>
      </c>
      <c r="U175" s="878">
        <f t="shared" si="40"/>
        <v>0.60928571428571432</v>
      </c>
      <c r="V175" s="878">
        <f t="shared" si="40"/>
        <v>0.92871428571428571</v>
      </c>
      <c r="W175" s="879">
        <f t="shared" si="40"/>
        <v>0.75942857142857145</v>
      </c>
    </row>
    <row r="176" spans="18:57">
      <c r="R176" s="2" t="s">
        <v>1629</v>
      </c>
      <c r="S176" s="844">
        <v>0.1</v>
      </c>
      <c r="T176" s="878">
        <f t="shared" si="40"/>
        <v>0.83485714285714285</v>
      </c>
      <c r="U176" s="878">
        <f t="shared" si="40"/>
        <v>0.60457142857142854</v>
      </c>
      <c r="V176" s="878">
        <f t="shared" si="40"/>
        <v>0.92642857142857149</v>
      </c>
      <c r="W176" s="879">
        <f t="shared" si="40"/>
        <v>0.75185714285714289</v>
      </c>
    </row>
    <row r="177" spans="18:57">
      <c r="R177" s="2" t="s">
        <v>1629</v>
      </c>
      <c r="S177" s="844">
        <v>0.11</v>
      </c>
      <c r="T177" s="878">
        <f t="shared" si="40"/>
        <v>0.8332857142857143</v>
      </c>
      <c r="U177" s="878">
        <f t="shared" si="40"/>
        <v>0.59985714285714287</v>
      </c>
      <c r="V177" s="878">
        <f t="shared" si="40"/>
        <v>0.92414285714285715</v>
      </c>
      <c r="W177" s="879">
        <f t="shared" si="40"/>
        <v>0.74428571428571433</v>
      </c>
      <c r="AN177" s="431" t="s">
        <v>1133</v>
      </c>
    </row>
    <row r="178" spans="18:57">
      <c r="R178" s="2" t="s">
        <v>1629</v>
      </c>
      <c r="S178" s="844">
        <v>0.12</v>
      </c>
      <c r="T178" s="878">
        <f t="shared" si="40"/>
        <v>0.83171428571428563</v>
      </c>
      <c r="U178" s="878">
        <f t="shared" si="40"/>
        <v>0.59514285714285708</v>
      </c>
      <c r="V178" s="878">
        <f t="shared" si="40"/>
        <v>0.92185714285714293</v>
      </c>
      <c r="W178" s="879">
        <f t="shared" si="40"/>
        <v>0.73671428571428565</v>
      </c>
      <c r="AN178" s="2" t="s">
        <v>1082</v>
      </c>
      <c r="AO178" s="1291">
        <v>0</v>
      </c>
      <c r="AP178" s="1291"/>
      <c r="AQ178" s="1291"/>
      <c r="AR178" s="1291">
        <v>11</v>
      </c>
      <c r="AS178" s="1291"/>
      <c r="AT178" s="1291"/>
      <c r="AU178" s="1291">
        <v>13</v>
      </c>
      <c r="AV178" s="1291"/>
      <c r="AW178" s="1291"/>
      <c r="AX178" s="1291">
        <v>17</v>
      </c>
      <c r="AY178" s="1291"/>
      <c r="AZ178" s="1291"/>
      <c r="BA178" s="1291">
        <v>19</v>
      </c>
      <c r="BB178" s="1291"/>
      <c r="BC178" s="1291"/>
    </row>
    <row r="179" spans="18:57">
      <c r="R179" s="2" t="s">
        <v>1629</v>
      </c>
      <c r="S179" s="844">
        <v>0.13</v>
      </c>
      <c r="T179" s="878">
        <f t="shared" si="40"/>
        <v>0.83014285714285707</v>
      </c>
      <c r="U179" s="878">
        <f t="shared" si="40"/>
        <v>0.59042857142857141</v>
      </c>
      <c r="V179" s="878">
        <f t="shared" si="40"/>
        <v>0.9195714285714286</v>
      </c>
      <c r="W179" s="879">
        <f t="shared" si="40"/>
        <v>0.72914285714285709</v>
      </c>
      <c r="AN179" s="2" t="s">
        <v>1083</v>
      </c>
      <c r="AO179" s="2" t="s">
        <v>1084</v>
      </c>
      <c r="AP179" s="1269" t="s">
        <v>1085</v>
      </c>
      <c r="AQ179" s="1270"/>
      <c r="AR179" s="2" t="s">
        <v>1084</v>
      </c>
      <c r="AS179" s="1269" t="s">
        <v>1085</v>
      </c>
      <c r="AT179" s="1270"/>
      <c r="AU179" s="2" t="s">
        <v>1084</v>
      </c>
      <c r="AV179" s="1269" t="s">
        <v>1085</v>
      </c>
      <c r="AW179" s="1270"/>
      <c r="AX179" s="2" t="s">
        <v>1084</v>
      </c>
      <c r="AY179" s="1269" t="s">
        <v>1085</v>
      </c>
      <c r="AZ179" s="1270"/>
      <c r="BA179" s="2" t="s">
        <v>1084</v>
      </c>
      <c r="BB179" s="1269" t="s">
        <v>1085</v>
      </c>
      <c r="BC179" s="1270"/>
      <c r="BD179" s="99"/>
      <c r="BE179" s="99"/>
    </row>
    <row r="180" spans="18:57">
      <c r="R180" s="2" t="s">
        <v>1629</v>
      </c>
      <c r="S180" s="844">
        <v>0.14000000000000001</v>
      </c>
      <c r="T180" s="878">
        <f t="shared" si="40"/>
        <v>0.82857142857142851</v>
      </c>
      <c r="U180" s="878">
        <f t="shared" si="40"/>
        <v>0.58571428571428563</v>
      </c>
      <c r="V180" s="878">
        <f t="shared" si="40"/>
        <v>0.91728571428571437</v>
      </c>
      <c r="W180" s="879">
        <f t="shared" si="40"/>
        <v>0.72157142857142853</v>
      </c>
      <c r="AN180" s="2">
        <v>11</v>
      </c>
      <c r="AO180" s="885">
        <v>840.8</v>
      </c>
      <c r="AP180" s="1267">
        <v>5.3999999999999999E-2</v>
      </c>
      <c r="AQ180" s="1268"/>
      <c r="AR180" s="885"/>
      <c r="AS180" s="1267"/>
      <c r="AT180" s="1268"/>
      <c r="AU180" s="885"/>
      <c r="AV180" s="1267"/>
      <c r="AW180" s="1268"/>
      <c r="AX180" s="885"/>
      <c r="AY180" s="1267"/>
      <c r="AZ180" s="1268"/>
      <c r="BA180" s="885"/>
      <c r="BB180" s="1267"/>
      <c r="BC180" s="1268"/>
    </row>
    <row r="181" spans="18:57">
      <c r="R181" s="2" t="s">
        <v>1629</v>
      </c>
      <c r="S181" s="844">
        <v>0.15</v>
      </c>
      <c r="T181" s="877">
        <v>0.82699999999999996</v>
      </c>
      <c r="U181" s="877">
        <v>0.58099999999999996</v>
      </c>
      <c r="V181" s="877">
        <v>0.91500000000000004</v>
      </c>
      <c r="W181" s="877">
        <v>0.71399999999999997</v>
      </c>
      <c r="AN181" s="2">
        <v>12</v>
      </c>
      <c r="AO181" s="885">
        <f>((($AN$181-$AN$180)*(AO182-AO180))/($AN$182-$AN$180))+AO180</f>
        <v>904.4</v>
      </c>
      <c r="AP181" s="1267">
        <f>((($AN$181-$AN$180)*(AP182-AP180))/($AN$182-$AN$180))+AP180</f>
        <v>5.9499999999999997E-2</v>
      </c>
      <c r="AQ181" s="1268"/>
      <c r="AR181" s="885">
        <f>((($AN$181-$AN$180)*(AR182-AR180))/($AN$182-$AN$180))+AR180</f>
        <v>63.6</v>
      </c>
      <c r="AS181" s="1269">
        <f>((($AN$181-$AN$180)*(AS182-AS180))/($AN$182-$AN$180))+AS180</f>
        <v>5.4999999999999997E-3</v>
      </c>
      <c r="AT181" s="1270"/>
      <c r="AU181" s="885">
        <f>((($AN$181-$AN$180)*(AU182-AU180))/($AN$182-$AN$180))+AU180</f>
        <v>0</v>
      </c>
      <c r="AV181" s="1267">
        <f>((($AN$181-$AN$180)*(AV182-AV180))/($AN$182-$AN$180))+AV180</f>
        <v>0</v>
      </c>
      <c r="AW181" s="1268"/>
      <c r="AX181" s="885">
        <f>((($AN$181-$AN$180)*(AX182-AX180))/($AN$182-$AN$180))+AX180</f>
        <v>0</v>
      </c>
      <c r="AY181" s="1267">
        <f>((($AN$181-$AN$180)*(AY182-AY180))/($AN$182-$AN$180))+AY180</f>
        <v>0</v>
      </c>
      <c r="AZ181" s="1268"/>
      <c r="BA181" s="885">
        <f>((($AN$181-$AN$180)*(BA182-BA180))/($AN$182-$AN$180))+BA180</f>
        <v>0</v>
      </c>
      <c r="BB181" s="1267">
        <f>((($AN$181-$AN$180)*(BB182-BB180))/($AN$182-$AN$180))+BB180</f>
        <v>0</v>
      </c>
      <c r="BC181" s="1268"/>
    </row>
    <row r="182" spans="18:57">
      <c r="R182" s="2" t="s">
        <v>1629</v>
      </c>
      <c r="S182" s="844">
        <v>0.16</v>
      </c>
      <c r="T182" s="878">
        <f t="shared" ref="T182:W185" si="41">((($S182-$S$181)*(T$186-T$181))/($S$186-$S$181))+T$181</f>
        <v>0.82519999999999993</v>
      </c>
      <c r="U182" s="878">
        <f t="shared" si="41"/>
        <v>0.5766</v>
      </c>
      <c r="V182" s="878">
        <f t="shared" si="41"/>
        <v>0.91280000000000006</v>
      </c>
      <c r="W182" s="879">
        <f t="shared" si="41"/>
        <v>0.70699999999999996</v>
      </c>
      <c r="AN182" s="2">
        <v>13</v>
      </c>
      <c r="AO182" s="885">
        <v>968</v>
      </c>
      <c r="AP182" s="1267">
        <v>6.5000000000000002E-2</v>
      </c>
      <c r="AQ182" s="1268"/>
      <c r="AR182" s="885">
        <v>127.2</v>
      </c>
      <c r="AS182" s="1267">
        <v>1.0999999999999999E-2</v>
      </c>
      <c r="AT182" s="1268"/>
      <c r="AU182" s="885"/>
      <c r="AV182" s="1267"/>
      <c r="AW182" s="1268"/>
      <c r="AX182" s="885"/>
      <c r="AY182" s="1267"/>
      <c r="AZ182" s="1268"/>
      <c r="BA182" s="885"/>
      <c r="BB182" s="1267"/>
      <c r="BC182" s="1268"/>
    </row>
    <row r="183" spans="18:57">
      <c r="R183" s="2" t="s">
        <v>1629</v>
      </c>
      <c r="S183" s="844">
        <v>0.17</v>
      </c>
      <c r="T183" s="878">
        <f t="shared" si="41"/>
        <v>0.82339999999999991</v>
      </c>
      <c r="U183" s="878">
        <f t="shared" si="41"/>
        <v>0.57220000000000004</v>
      </c>
      <c r="V183" s="878">
        <f t="shared" si="41"/>
        <v>0.91060000000000008</v>
      </c>
      <c r="W183" s="879">
        <f t="shared" si="41"/>
        <v>0.7</v>
      </c>
      <c r="AN183" s="2">
        <v>14</v>
      </c>
      <c r="AO183" s="885">
        <f t="shared" ref="AO183:AP185" si="42">((($AN183-$AN$182)*(AO$186-AO$182))/($AN$186-$AN$182))+AO$182</f>
        <v>1015.5</v>
      </c>
      <c r="AP183" s="1267">
        <f t="shared" si="42"/>
        <v>6.7750000000000005E-2</v>
      </c>
      <c r="AQ183" s="1268"/>
      <c r="AR183" s="885">
        <f t="shared" ref="AR183:AS185" si="43">((($AN183-$AN$182)*(AR$186-AR$182))/($AN$186-$AN$182))+AR$182</f>
        <v>174.72500000000002</v>
      </c>
      <c r="AS183" s="1267">
        <f t="shared" si="43"/>
        <v>1.3749999999999998E-2</v>
      </c>
      <c r="AT183" s="1268"/>
      <c r="AU183" s="885">
        <f t="shared" ref="AU183:AV185" si="44">((($AN183-$AN$182)*(AU$186-AU$182))/($AN$186-$AN$182))+AU$182</f>
        <v>47.5</v>
      </c>
      <c r="AV183" s="1267">
        <f t="shared" si="44"/>
        <v>2.7499999999999998E-3</v>
      </c>
      <c r="AW183" s="1268"/>
      <c r="AX183" s="885">
        <f t="shared" ref="AX183:AY185" si="45">((($AN183-$AN$182)*(AX$186-AX$182))/($AN$186-$AN$182))+AX$182</f>
        <v>0</v>
      </c>
      <c r="AY183" s="1267">
        <f t="shared" si="45"/>
        <v>0</v>
      </c>
      <c r="AZ183" s="1268"/>
      <c r="BA183" s="885">
        <f t="shared" ref="BA183:BB185" si="46">((($AN183-$AN$182)*(BA$186-BA$182))/($AN$186-$AN$182))+BA$182</f>
        <v>0</v>
      </c>
      <c r="BB183" s="1267">
        <f t="shared" si="46"/>
        <v>0</v>
      </c>
      <c r="BC183" s="1268"/>
    </row>
    <row r="184" spans="18:57">
      <c r="R184" s="2" t="s">
        <v>1629</v>
      </c>
      <c r="S184" s="844">
        <v>0.18</v>
      </c>
      <c r="T184" s="878">
        <f t="shared" si="41"/>
        <v>0.8216</v>
      </c>
      <c r="U184" s="878">
        <f t="shared" si="41"/>
        <v>0.56779999999999997</v>
      </c>
      <c r="V184" s="878">
        <f t="shared" si="41"/>
        <v>0.90839999999999999</v>
      </c>
      <c r="W184" s="879">
        <f t="shared" si="41"/>
        <v>0.69300000000000006</v>
      </c>
      <c r="AN184" s="2">
        <v>15</v>
      </c>
      <c r="AO184" s="885">
        <f t="shared" si="42"/>
        <v>1063</v>
      </c>
      <c r="AP184" s="1267">
        <f t="shared" si="42"/>
        <v>7.0500000000000007E-2</v>
      </c>
      <c r="AQ184" s="1268"/>
      <c r="AR184" s="885">
        <f t="shared" si="43"/>
        <v>222.25</v>
      </c>
      <c r="AS184" s="1267">
        <f t="shared" si="43"/>
        <v>1.6500000000000001E-2</v>
      </c>
      <c r="AT184" s="1268"/>
      <c r="AU184" s="885">
        <f t="shared" si="44"/>
        <v>95</v>
      </c>
      <c r="AV184" s="1267">
        <f t="shared" si="44"/>
        <v>5.4999999999999997E-3</v>
      </c>
      <c r="AW184" s="1268"/>
      <c r="AX184" s="885">
        <f t="shared" si="45"/>
        <v>0</v>
      </c>
      <c r="AY184" s="1267">
        <f t="shared" si="45"/>
        <v>0</v>
      </c>
      <c r="AZ184" s="1268"/>
      <c r="BA184" s="885">
        <f t="shared" si="46"/>
        <v>0</v>
      </c>
      <c r="BB184" s="1267">
        <f t="shared" si="46"/>
        <v>0</v>
      </c>
      <c r="BC184" s="1268"/>
    </row>
    <row r="185" spans="18:57">
      <c r="R185" s="2" t="s">
        <v>1629</v>
      </c>
      <c r="S185" s="844">
        <v>0.19</v>
      </c>
      <c r="T185" s="878">
        <f t="shared" si="41"/>
        <v>0.81979999999999997</v>
      </c>
      <c r="U185" s="878">
        <f t="shared" si="41"/>
        <v>0.56340000000000001</v>
      </c>
      <c r="V185" s="878">
        <f t="shared" si="41"/>
        <v>0.90620000000000001</v>
      </c>
      <c r="W185" s="879">
        <f t="shared" si="41"/>
        <v>0.68600000000000005</v>
      </c>
      <c r="AN185" s="2">
        <v>16</v>
      </c>
      <c r="AO185" s="885">
        <f t="shared" si="42"/>
        <v>1110.5</v>
      </c>
      <c r="AP185" s="1267">
        <f t="shared" si="42"/>
        <v>7.3249999999999996E-2</v>
      </c>
      <c r="AQ185" s="1268"/>
      <c r="AR185" s="885">
        <f t="shared" si="43"/>
        <v>269.77500000000003</v>
      </c>
      <c r="AS185" s="1267">
        <f t="shared" si="43"/>
        <v>1.925E-2</v>
      </c>
      <c r="AT185" s="1268"/>
      <c r="AU185" s="885">
        <f t="shared" si="44"/>
        <v>142.5</v>
      </c>
      <c r="AV185" s="1267">
        <f t="shared" si="44"/>
        <v>8.2500000000000004E-3</v>
      </c>
      <c r="AW185" s="1268"/>
      <c r="AX185" s="885">
        <f t="shared" si="45"/>
        <v>0</v>
      </c>
      <c r="AY185" s="1267">
        <f t="shared" si="45"/>
        <v>0</v>
      </c>
      <c r="AZ185" s="1268"/>
      <c r="BA185" s="885">
        <f t="shared" si="46"/>
        <v>0</v>
      </c>
      <c r="BB185" s="1267">
        <f t="shared" si="46"/>
        <v>0</v>
      </c>
      <c r="BC185" s="1268"/>
    </row>
    <row r="186" spans="18:57">
      <c r="R186" s="2" t="s">
        <v>1629</v>
      </c>
      <c r="S186" s="844">
        <v>0.2</v>
      </c>
      <c r="T186" s="877">
        <v>0.81799999999999995</v>
      </c>
      <c r="U186" s="877">
        <v>0.55900000000000005</v>
      </c>
      <c r="V186" s="877">
        <v>0.90400000000000003</v>
      </c>
      <c r="W186" s="877">
        <v>0.67900000000000005</v>
      </c>
      <c r="AN186" s="2">
        <v>17</v>
      </c>
      <c r="AO186" s="885">
        <v>1158</v>
      </c>
      <c r="AP186" s="1267">
        <v>7.5999999999999998E-2</v>
      </c>
      <c r="AQ186" s="1268"/>
      <c r="AR186" s="885">
        <v>317.3</v>
      </c>
      <c r="AS186" s="1267">
        <v>2.1999999999999999E-2</v>
      </c>
      <c r="AT186" s="1268"/>
      <c r="AU186" s="885">
        <v>190</v>
      </c>
      <c r="AV186" s="1267">
        <v>1.0999999999999999E-2</v>
      </c>
      <c r="AW186" s="1268"/>
      <c r="AX186" s="885"/>
      <c r="AY186" s="1267"/>
      <c r="AZ186" s="1268"/>
      <c r="BA186" s="885"/>
      <c r="BB186" s="1267"/>
      <c r="BC186" s="1268"/>
    </row>
    <row r="187" spans="18:57">
      <c r="R187" s="2" t="s">
        <v>1629</v>
      </c>
      <c r="S187" s="844">
        <v>0.21</v>
      </c>
      <c r="T187" s="878">
        <f t="shared" ref="T187:W190" si="47">((($S187-$S$186)*(T$191-T$186))/($S$191-$S$186))+T$186</f>
        <v>0.81619999999999993</v>
      </c>
      <c r="U187" s="878">
        <f t="shared" si="47"/>
        <v>0.55480000000000007</v>
      </c>
      <c r="V187" s="878">
        <f t="shared" si="47"/>
        <v>0.90139999999999998</v>
      </c>
      <c r="W187" s="879">
        <f t="shared" si="47"/>
        <v>0.67280000000000006</v>
      </c>
      <c r="AN187" s="2">
        <v>18</v>
      </c>
      <c r="AO187" s="885">
        <f>((($AN$187-$AN$186)*(AO188-AO186))/($AN$188-$AN$186))+AO186</f>
        <v>1192.7</v>
      </c>
      <c r="AP187" s="1267">
        <f>((($AN$187-$AN$186)*(AP188-AP186))/($AN$188-$AN$186))+AP186</f>
        <v>7.5999999999999998E-2</v>
      </c>
      <c r="AQ187" s="1268"/>
      <c r="AR187" s="885">
        <f>((($AN$187-$AN$186)*(AR188-AR186))/($AN$188-$AN$186))+AR$186</f>
        <v>351.95000000000005</v>
      </c>
      <c r="AS187" s="1267">
        <f>((($AN$187-$AN$186)*(AS188-AS186))/($AN$188-$AN$186))+AS186</f>
        <v>2.1999999999999999E-2</v>
      </c>
      <c r="AT187" s="1268"/>
      <c r="AU187" s="885">
        <f>((($AN$187-$AN$186)*(AU188-AU186))/($AN$188-$AN$186))+AU186</f>
        <v>224.7</v>
      </c>
      <c r="AV187" s="1267">
        <f>((($AN$187-$AN$186)*(AV188-AV186))/($AN$188-$AN$186))+AV186</f>
        <v>1.0999999999999999E-2</v>
      </c>
      <c r="AW187" s="1268"/>
      <c r="AX187" s="885">
        <f>((($AN$187-$AN$186)*(AX188-AX186))/($AN$188-$AN$186))+AX186</f>
        <v>34.700000000000003</v>
      </c>
      <c r="AY187" s="1267">
        <f>((($AN$187-$AN$186)*(AY188-AY186))/($AN$188-$AN$186))+AY186</f>
        <v>0</v>
      </c>
      <c r="AZ187" s="1268"/>
      <c r="BA187" s="885">
        <f>((($AN$187-$AN$186)*(BA188-BA186))/($AN$188-$AN$186))+BA186</f>
        <v>0</v>
      </c>
      <c r="BB187" s="1267">
        <f>((($AN$187-$AN$186)*(BB188-BB186))/($AN$188-$AN$186))+BB186</f>
        <v>0</v>
      </c>
      <c r="BC187" s="1268"/>
    </row>
    <row r="188" spans="18:57">
      <c r="R188" s="2" t="s">
        <v>1629</v>
      </c>
      <c r="S188" s="844">
        <v>0.22</v>
      </c>
      <c r="T188" s="878">
        <f t="shared" si="47"/>
        <v>0.81440000000000001</v>
      </c>
      <c r="U188" s="878">
        <f t="shared" si="47"/>
        <v>0.55060000000000009</v>
      </c>
      <c r="V188" s="878">
        <f t="shared" si="47"/>
        <v>0.89880000000000004</v>
      </c>
      <c r="W188" s="879">
        <f t="shared" si="47"/>
        <v>0.66660000000000008</v>
      </c>
      <c r="AN188" s="2">
        <v>19</v>
      </c>
      <c r="AO188" s="885">
        <v>1227.4000000000001</v>
      </c>
      <c r="AP188" s="1267">
        <v>7.5999999999999998E-2</v>
      </c>
      <c r="AQ188" s="1268"/>
      <c r="AR188" s="885">
        <v>386.6</v>
      </c>
      <c r="AS188" s="1267">
        <v>2.1999999999999999E-2</v>
      </c>
      <c r="AT188" s="1268"/>
      <c r="AU188" s="885">
        <v>259.39999999999998</v>
      </c>
      <c r="AV188" s="1267">
        <v>1.0999999999999999E-2</v>
      </c>
      <c r="AW188" s="1268"/>
      <c r="AX188" s="885">
        <v>69.400000000000006</v>
      </c>
      <c r="AY188" s="1267">
        <v>0</v>
      </c>
      <c r="AZ188" s="1268"/>
      <c r="BA188" s="885">
        <v>0</v>
      </c>
      <c r="BB188" s="1267">
        <v>0</v>
      </c>
      <c r="BC188" s="1268"/>
    </row>
    <row r="189" spans="18:57">
      <c r="R189" s="2" t="s">
        <v>1629</v>
      </c>
      <c r="S189" s="844">
        <v>0.23</v>
      </c>
      <c r="T189" s="878">
        <f t="shared" si="47"/>
        <v>0.81259999999999999</v>
      </c>
      <c r="U189" s="878">
        <f t="shared" si="47"/>
        <v>0.5464</v>
      </c>
      <c r="V189" s="878">
        <f t="shared" si="47"/>
        <v>0.8962</v>
      </c>
      <c r="W189" s="879">
        <f t="shared" si="47"/>
        <v>0.66039999999999999</v>
      </c>
      <c r="AN189" s="2">
        <v>20</v>
      </c>
      <c r="AO189" s="885">
        <f>((($AN$189-$AN$188)*(AO190-AO188))/($AN$190-$AN$188))+AO188</f>
        <v>1256.0999999999999</v>
      </c>
      <c r="AP189" s="1267">
        <f>((($AN$189-$AN$188)*(AP190-AP188))/($AN$190-$AN$188))+AP188</f>
        <v>7.5999999999999998E-2</v>
      </c>
      <c r="AQ189" s="1268"/>
      <c r="AR189" s="885">
        <f>((($AN$189-$AN$188)*(AR190-AR188))/($AN$190-$AN$188))+AR188</f>
        <v>415.35</v>
      </c>
      <c r="AS189" s="1267">
        <f>((($AN$189-$AN$188)*(AS190-AS188))/($AN$190-$AN$188))+AS188</f>
        <v>2.1999999999999999E-2</v>
      </c>
      <c r="AT189" s="1268"/>
      <c r="AU189" s="885">
        <f>((($AN$189-$AN$188)*(AU190-AU188))/($AN$190-$AN$188))+AU188</f>
        <v>288.10000000000002</v>
      </c>
      <c r="AV189" s="1267">
        <f>((($AN$189-$AN$188)*(AV190-AV188))/($AN$190-$AN$188))+AV188</f>
        <v>1.0999999999999999E-2</v>
      </c>
      <c r="AW189" s="1268"/>
      <c r="AX189" s="885">
        <f>((($AN$189-$AN$188)*(AX190-AX188))/($AN$190-$AN$188))+AX188</f>
        <v>98.1</v>
      </c>
      <c r="AY189" s="1267">
        <f>((($AN$189-$AN$188)*(AY190-AY188))/($AN$190-$AN$188))+AY188</f>
        <v>0</v>
      </c>
      <c r="AZ189" s="1268"/>
      <c r="BA189" s="885">
        <f>((($AN$189-$AN$188)*(BA190-BA188))/($AN$190-$AN$188))+BA188</f>
        <v>28.7</v>
      </c>
      <c r="BB189" s="1267">
        <f>((($AN$189-$AN$188)*(BB190-BB188))/($AN$190-$AN$188))+BB188</f>
        <v>0</v>
      </c>
      <c r="BC189" s="1268"/>
    </row>
    <row r="190" spans="18:57">
      <c r="R190" s="2" t="s">
        <v>1629</v>
      </c>
      <c r="S190" s="844">
        <v>0.24</v>
      </c>
      <c r="T190" s="878">
        <f t="shared" si="47"/>
        <v>0.81080000000000008</v>
      </c>
      <c r="U190" s="878">
        <f t="shared" si="47"/>
        <v>0.54220000000000002</v>
      </c>
      <c r="V190" s="878">
        <f t="shared" si="47"/>
        <v>0.89360000000000006</v>
      </c>
      <c r="W190" s="879">
        <f t="shared" si="47"/>
        <v>0.6542</v>
      </c>
      <c r="AN190" s="2">
        <v>21</v>
      </c>
      <c r="AO190" s="885">
        <v>1284.8</v>
      </c>
      <c r="AP190" s="1267">
        <v>7.5999999999999998E-2</v>
      </c>
      <c r="AQ190" s="1268"/>
      <c r="AR190" s="885">
        <v>444.1</v>
      </c>
      <c r="AS190" s="1267">
        <v>2.1999999999999999E-2</v>
      </c>
      <c r="AT190" s="1268"/>
      <c r="AU190" s="885">
        <v>316.8</v>
      </c>
      <c r="AV190" s="1267">
        <v>1.0999999999999999E-2</v>
      </c>
      <c r="AW190" s="1268"/>
      <c r="AX190" s="885">
        <v>126.8</v>
      </c>
      <c r="AY190" s="1267">
        <v>0</v>
      </c>
      <c r="AZ190" s="1268"/>
      <c r="BA190" s="885">
        <v>57.4</v>
      </c>
      <c r="BB190" s="1267">
        <v>0</v>
      </c>
      <c r="BC190" s="1268"/>
    </row>
    <row r="191" spans="18:57">
      <c r="R191" s="2" t="s">
        <v>1629</v>
      </c>
      <c r="S191" s="844">
        <v>0.25</v>
      </c>
      <c r="T191" s="877">
        <v>0.80900000000000005</v>
      </c>
      <c r="U191" s="877">
        <v>0.53800000000000003</v>
      </c>
      <c r="V191" s="877">
        <v>0.89100000000000001</v>
      </c>
      <c r="W191" s="877">
        <v>0.64800000000000002</v>
      </c>
      <c r="AN191" s="2">
        <v>22</v>
      </c>
      <c r="AO191" s="885">
        <f t="shared" ref="AO191:AP193" si="48">((($AN191-$AN$190)*(AO$194-AO$190))/($AN$194-$AN$190))+AO$190</f>
        <v>1307.175</v>
      </c>
      <c r="AP191" s="1267">
        <f t="shared" si="48"/>
        <v>7.8750000000000001E-2</v>
      </c>
      <c r="AQ191" s="1268"/>
      <c r="AR191" s="885">
        <f t="shared" ref="AR191:AS193" si="49">((($AN191-$AN$190)*(AR$194-AR$190))/($AN$194-$AN$190))+AR$190</f>
        <v>466.45000000000005</v>
      </c>
      <c r="AS191" s="1267">
        <f t="shared" si="49"/>
        <v>2.4750000000000001E-2</v>
      </c>
      <c r="AT191" s="1268"/>
      <c r="AU191" s="885">
        <f t="shared" ref="AU191:AV193" si="50">((($AN191-$AN$190)*(AU$194-AU$190))/($AN$194-$AN$190))+AU$190</f>
        <v>339.15</v>
      </c>
      <c r="AV191" s="1267">
        <f t="shared" si="50"/>
        <v>1.3749999999999998E-2</v>
      </c>
      <c r="AW191" s="1268"/>
      <c r="AX191" s="885">
        <f>((($AN191-$AN$190)*(AV$194-AV$190))/($AN$194-$AN$190))+AV$190</f>
        <v>1.3749999999999998E-2</v>
      </c>
      <c r="AY191" s="1267">
        <f>((($AN191-$AN$190)*(AY$194-AY$190))/($AN$194-$AN$190))+AY$190</f>
        <v>2.7499999999999998E-3</v>
      </c>
      <c r="AZ191" s="1268"/>
      <c r="BA191" s="885">
        <f t="shared" ref="BA191:BB193" si="51">((($AN191-$AN$190)*(BA$194-BA$190))/($AN$194-$AN$190))+BA$190</f>
        <v>79.775000000000006</v>
      </c>
      <c r="BB191" s="1267">
        <f t="shared" si="51"/>
        <v>0</v>
      </c>
      <c r="BC191" s="1268"/>
    </row>
    <row r="192" spans="18:57">
      <c r="R192" s="2" t="s">
        <v>1629</v>
      </c>
      <c r="S192" s="844">
        <v>0.26</v>
      </c>
      <c r="T192" s="878">
        <f t="shared" ref="T192:W195" si="52">((($S192-$S$191)*(T$196-T$191))/($S$196-$S$191))+T$191</f>
        <v>0.80700000000000005</v>
      </c>
      <c r="U192" s="878">
        <f t="shared" si="52"/>
        <v>0.53439999999999999</v>
      </c>
      <c r="V192" s="878">
        <f t="shared" si="52"/>
        <v>0.88860000000000006</v>
      </c>
      <c r="W192" s="879">
        <f t="shared" si="52"/>
        <v>0.64219999999999999</v>
      </c>
      <c r="AN192" s="2">
        <v>23</v>
      </c>
      <c r="AO192" s="885">
        <f t="shared" si="48"/>
        <v>1329.55</v>
      </c>
      <c r="AP192" s="1267">
        <f t="shared" si="48"/>
        <v>8.1499999999999989E-2</v>
      </c>
      <c r="AQ192" s="1268"/>
      <c r="AR192" s="885">
        <f t="shared" si="49"/>
        <v>488.8</v>
      </c>
      <c r="AS192" s="1267">
        <f t="shared" si="49"/>
        <v>2.75E-2</v>
      </c>
      <c r="AT192" s="1268"/>
      <c r="AU192" s="885">
        <f t="shared" si="50"/>
        <v>361.5</v>
      </c>
      <c r="AV192" s="1267">
        <f t="shared" si="50"/>
        <v>1.6500000000000001E-2</v>
      </c>
      <c r="AW192" s="1268"/>
      <c r="AX192" s="885">
        <f>((($AN192-$AN$190)*(AX$194-AX$190))/($AN$194-$AN$190))+AX$190</f>
        <v>171.5</v>
      </c>
      <c r="AY192" s="1267">
        <f>((($AN192-$AN$190)*(AY$194-AY$190))/($AN$194-$AN$190))+AY$190</f>
        <v>5.4999999999999997E-3</v>
      </c>
      <c r="AZ192" s="1268"/>
      <c r="BA192" s="885">
        <f t="shared" si="51"/>
        <v>102.15</v>
      </c>
      <c r="BB192" s="1267">
        <f t="shared" si="51"/>
        <v>0</v>
      </c>
      <c r="BC192" s="1268"/>
    </row>
    <row r="193" spans="18:55">
      <c r="R193" s="2" t="s">
        <v>1629</v>
      </c>
      <c r="S193" s="844">
        <v>0.27</v>
      </c>
      <c r="T193" s="878">
        <f t="shared" si="52"/>
        <v>0.80500000000000005</v>
      </c>
      <c r="U193" s="878">
        <f t="shared" si="52"/>
        <v>0.53080000000000005</v>
      </c>
      <c r="V193" s="878">
        <f t="shared" si="52"/>
        <v>0.88619999999999999</v>
      </c>
      <c r="W193" s="879">
        <f t="shared" si="52"/>
        <v>0.63639999999999997</v>
      </c>
      <c r="AN193" s="2">
        <v>24</v>
      </c>
      <c r="AO193" s="885">
        <f t="shared" si="48"/>
        <v>1351.925</v>
      </c>
      <c r="AP193" s="1267">
        <f t="shared" si="48"/>
        <v>8.4249999999999992E-2</v>
      </c>
      <c r="AQ193" s="1268"/>
      <c r="AR193" s="885">
        <f t="shared" si="49"/>
        <v>511.15</v>
      </c>
      <c r="AS193" s="1267">
        <f t="shared" si="49"/>
        <v>3.0249999999999999E-2</v>
      </c>
      <c r="AT193" s="1268"/>
      <c r="AU193" s="885">
        <f t="shared" si="50"/>
        <v>383.85</v>
      </c>
      <c r="AV193" s="1267">
        <f t="shared" si="50"/>
        <v>1.925E-2</v>
      </c>
      <c r="AW193" s="1268"/>
      <c r="AX193" s="885">
        <f>((($AN193-$AN$190)*(AX$194-AX$190))/($AN$194-$AN$190))+AX$190</f>
        <v>193.85</v>
      </c>
      <c r="AY193" s="1267">
        <f>((($AN193-$AN$190)*(AY$194-AY$190))/($AN$194-$AN$190))+AY$190</f>
        <v>8.2500000000000004E-3</v>
      </c>
      <c r="AZ193" s="1268"/>
      <c r="BA193" s="885">
        <f t="shared" si="51"/>
        <v>124.52500000000001</v>
      </c>
      <c r="BB193" s="1267">
        <f t="shared" si="51"/>
        <v>0</v>
      </c>
      <c r="BC193" s="1268"/>
    </row>
    <row r="194" spans="18:55">
      <c r="R194" s="2" t="s">
        <v>1629</v>
      </c>
      <c r="S194" s="844">
        <v>0.28000000000000003</v>
      </c>
      <c r="T194" s="878">
        <f t="shared" si="52"/>
        <v>0.80300000000000005</v>
      </c>
      <c r="U194" s="878">
        <f t="shared" si="52"/>
        <v>0.5272</v>
      </c>
      <c r="V194" s="878">
        <f t="shared" si="52"/>
        <v>0.88380000000000003</v>
      </c>
      <c r="W194" s="879">
        <f t="shared" si="52"/>
        <v>0.63059999999999994</v>
      </c>
      <c r="AN194" s="2">
        <v>25</v>
      </c>
      <c r="AO194" s="885">
        <v>1374.3</v>
      </c>
      <c r="AP194" s="1267">
        <v>8.6999999999999994E-2</v>
      </c>
      <c r="AQ194" s="1268"/>
      <c r="AR194" s="885">
        <v>533.5</v>
      </c>
      <c r="AS194" s="1267">
        <v>3.3000000000000002E-2</v>
      </c>
      <c r="AT194" s="1268"/>
      <c r="AU194" s="885">
        <v>406.2</v>
      </c>
      <c r="AV194" s="1267">
        <v>2.1999999999999999E-2</v>
      </c>
      <c r="AW194" s="1268"/>
      <c r="AX194" s="885">
        <v>216.2</v>
      </c>
      <c r="AY194" s="1267">
        <v>1.0999999999999999E-2</v>
      </c>
      <c r="AZ194" s="1268"/>
      <c r="BA194" s="885">
        <v>146.9</v>
      </c>
      <c r="BB194" s="1267">
        <v>0</v>
      </c>
      <c r="BC194" s="1268"/>
    </row>
    <row r="195" spans="18:55">
      <c r="R195" s="2" t="s">
        <v>1629</v>
      </c>
      <c r="S195" s="844">
        <v>0.28999999999999998</v>
      </c>
      <c r="T195" s="878">
        <f t="shared" si="52"/>
        <v>0.80100000000000005</v>
      </c>
      <c r="U195" s="878">
        <f t="shared" si="52"/>
        <v>0.52360000000000007</v>
      </c>
      <c r="V195" s="878">
        <f t="shared" si="52"/>
        <v>0.88139999999999996</v>
      </c>
      <c r="W195" s="879">
        <f t="shared" si="52"/>
        <v>0.62480000000000002</v>
      </c>
      <c r="AN195" s="2">
        <v>26</v>
      </c>
      <c r="AO195" s="885">
        <f>((($AN$195-$AN$194)*(AO196-AO194))/($AN$196-$AN$194))+AO194</f>
        <v>1392.1999999999998</v>
      </c>
      <c r="AP195" s="1267">
        <f>((($AN$195-$AN$194)*(AP196-AP194))/($AN$196-$AN$194))+AP194</f>
        <v>8.6999999999999994E-2</v>
      </c>
      <c r="AQ195" s="1268"/>
      <c r="AR195" s="885">
        <f>((($AN$195-$AN$194)*(AR196-AR194))/($AN$196-$AN$194))+AR194</f>
        <v>551.45000000000005</v>
      </c>
      <c r="AS195" s="1267">
        <f>((($AN$195-$AN$194)*(AS196-AS194))/($AN$196-$AN$194))+AS194</f>
        <v>3.3000000000000002E-2</v>
      </c>
      <c r="AT195" s="1268"/>
      <c r="AU195" s="885">
        <f>((($AN$195-$AN$194)*(AU196-AU194))/($AN$196-$AN$194))+AU194</f>
        <v>424.15</v>
      </c>
      <c r="AV195" s="1267">
        <f>((($AN$195-$AN$194)*(AV196-AV194))/($AN$196-$AN$194))+AV194</f>
        <v>2.1999999999999999E-2</v>
      </c>
      <c r="AW195" s="1268"/>
      <c r="AX195" s="885">
        <f>((($AN$195-$AN$194)*(AX196-AX194))/($AN$196-$AN$194))+AX194</f>
        <v>234.14999999999998</v>
      </c>
      <c r="AY195" s="1267">
        <f>((($AN$195-$AN$194)*(AY196-AY194))/($AN$196-$AN$194))+AY194</f>
        <v>1.0999999999999999E-2</v>
      </c>
      <c r="AZ195" s="1268"/>
      <c r="BA195" s="885">
        <f>((($AN$195-$AN$194)*(BA196-BA194))/($AN$196-$AN$194))+BA194</f>
        <v>164.8</v>
      </c>
      <c r="BB195" s="1267">
        <f>((($AN$195-$AN$194)*(BB196-BB194))/($AN$196-$AN$194))+BB194</f>
        <v>5.4999999999999997E-3</v>
      </c>
      <c r="BC195" s="1268"/>
    </row>
    <row r="196" spans="18:55">
      <c r="R196" s="2" t="s">
        <v>1629</v>
      </c>
      <c r="S196" s="844">
        <v>0.3</v>
      </c>
      <c r="T196" s="877">
        <v>0.79900000000000004</v>
      </c>
      <c r="U196" s="877">
        <v>0.52</v>
      </c>
      <c r="V196" s="877">
        <v>0.879</v>
      </c>
      <c r="W196" s="877">
        <v>0.61899999999999999</v>
      </c>
      <c r="AN196" s="2">
        <v>27</v>
      </c>
      <c r="AO196" s="885">
        <v>1410.1</v>
      </c>
      <c r="AP196" s="1267">
        <v>8.6999999999999994E-2</v>
      </c>
      <c r="AQ196" s="1268"/>
      <c r="AR196" s="885">
        <v>569.4</v>
      </c>
      <c r="AS196" s="1267">
        <v>3.3000000000000002E-2</v>
      </c>
      <c r="AT196" s="1268"/>
      <c r="AU196" s="885">
        <v>442.1</v>
      </c>
      <c r="AV196" s="1267">
        <v>2.1999999999999999E-2</v>
      </c>
      <c r="AW196" s="1268"/>
      <c r="AX196" s="885">
        <v>252.1</v>
      </c>
      <c r="AY196" s="1267">
        <v>1.0999999999999999E-2</v>
      </c>
      <c r="AZ196" s="1268"/>
      <c r="BA196" s="885">
        <v>182.7</v>
      </c>
      <c r="BB196" s="1267">
        <v>1.0999999999999999E-2</v>
      </c>
      <c r="BC196" s="1268"/>
    </row>
    <row r="197" spans="18:55">
      <c r="R197" s="2" t="s">
        <v>216</v>
      </c>
      <c r="S197" s="844">
        <v>0</v>
      </c>
      <c r="T197" s="877">
        <v>0.87</v>
      </c>
      <c r="U197" s="877">
        <v>0.75900000000000001</v>
      </c>
      <c r="V197" s="877">
        <v>0.95399999999999996</v>
      </c>
      <c r="W197" s="877">
        <v>0.85799999999999998</v>
      </c>
    </row>
    <row r="198" spans="18:55">
      <c r="R198" s="2" t="s">
        <v>216</v>
      </c>
      <c r="S198" s="844">
        <v>0.08</v>
      </c>
      <c r="T198" s="877">
        <v>0.87</v>
      </c>
      <c r="U198" s="877">
        <v>0.75900000000000001</v>
      </c>
      <c r="V198" s="877">
        <v>0.95399999999999996</v>
      </c>
      <c r="W198" s="877">
        <v>0.85799999999999998</v>
      </c>
    </row>
    <row r="199" spans="18:55">
      <c r="R199" s="2" t="s">
        <v>216</v>
      </c>
      <c r="S199" s="844">
        <v>0.09</v>
      </c>
      <c r="T199" s="878">
        <f t="shared" ref="T199:W204" si="53">((($S199-$S$198)*(T$205-T$198))/($S$205-$S$198))+T$198</f>
        <v>0.86828571428571433</v>
      </c>
      <c r="U199" s="878">
        <f t="shared" si="53"/>
        <v>0.75442857142857145</v>
      </c>
      <c r="V199" s="878">
        <f t="shared" si="53"/>
        <v>0.95157142857142851</v>
      </c>
      <c r="W199" s="879">
        <f t="shared" si="53"/>
        <v>0.85157142857142853</v>
      </c>
    </row>
    <row r="200" spans="18:55">
      <c r="R200" s="2" t="s">
        <v>216</v>
      </c>
      <c r="S200" s="844">
        <v>0.1</v>
      </c>
      <c r="T200" s="878">
        <f t="shared" si="53"/>
        <v>0.86657142857142855</v>
      </c>
      <c r="U200" s="878">
        <f t="shared" si="53"/>
        <v>0.74985714285714289</v>
      </c>
      <c r="V200" s="878">
        <f t="shared" si="53"/>
        <v>0.94914285714285718</v>
      </c>
      <c r="W200" s="879">
        <f t="shared" si="53"/>
        <v>0.84514285714285708</v>
      </c>
    </row>
    <row r="201" spans="18:55">
      <c r="R201" s="2" t="s">
        <v>216</v>
      </c>
      <c r="S201" s="844">
        <v>0.11</v>
      </c>
      <c r="T201" s="878">
        <f t="shared" si="53"/>
        <v>0.86485714285714288</v>
      </c>
      <c r="U201" s="878">
        <f t="shared" si="53"/>
        <v>0.74528571428571433</v>
      </c>
      <c r="V201" s="878">
        <f t="shared" si="53"/>
        <v>0.94671428571428573</v>
      </c>
      <c r="W201" s="879">
        <f t="shared" si="53"/>
        <v>0.83871428571428563</v>
      </c>
      <c r="AN201" s="431" t="s">
        <v>1134</v>
      </c>
    </row>
    <row r="202" spans="18:55">
      <c r="R202" s="2" t="s">
        <v>216</v>
      </c>
      <c r="S202" s="844">
        <v>0.12</v>
      </c>
      <c r="T202" s="878">
        <f t="shared" si="53"/>
        <v>0.8631428571428571</v>
      </c>
      <c r="U202" s="878">
        <f t="shared" si="53"/>
        <v>0.74071428571428566</v>
      </c>
      <c r="V202" s="878">
        <f t="shared" si="53"/>
        <v>0.94428571428571428</v>
      </c>
      <c r="W202" s="879">
        <f t="shared" si="53"/>
        <v>0.8322857142857143</v>
      </c>
      <c r="AN202" s="2" t="s">
        <v>1082</v>
      </c>
      <c r="AO202" s="1269">
        <v>0</v>
      </c>
      <c r="AP202" s="1292"/>
      <c r="AQ202" s="1270"/>
      <c r="AR202" s="1269">
        <v>11</v>
      </c>
      <c r="AS202" s="1292"/>
      <c r="AT202" s="1270"/>
      <c r="AU202" s="1269">
        <v>13</v>
      </c>
      <c r="AV202" s="1292"/>
      <c r="AW202" s="1270"/>
      <c r="AX202" s="1269">
        <v>17</v>
      </c>
      <c r="AY202" s="1292"/>
      <c r="AZ202" s="1270"/>
      <c r="BA202" s="1269">
        <v>19</v>
      </c>
      <c r="BB202" s="1292"/>
      <c r="BC202" s="1270"/>
    </row>
    <row r="203" spans="18:55">
      <c r="R203" s="2" t="s">
        <v>216</v>
      </c>
      <c r="S203" s="844">
        <v>0.13</v>
      </c>
      <c r="T203" s="878">
        <f t="shared" si="53"/>
        <v>0.86142857142857143</v>
      </c>
      <c r="U203" s="878">
        <f t="shared" si="53"/>
        <v>0.7361428571428571</v>
      </c>
      <c r="V203" s="878">
        <f t="shared" si="53"/>
        <v>0.94185714285714284</v>
      </c>
      <c r="W203" s="879">
        <f t="shared" si="53"/>
        <v>0.82585714285714285</v>
      </c>
      <c r="AN203" s="2" t="s">
        <v>1083</v>
      </c>
      <c r="AO203" s="2" t="s">
        <v>1084</v>
      </c>
      <c r="AP203" s="1269" t="s">
        <v>1085</v>
      </c>
      <c r="AQ203" s="1270"/>
      <c r="AR203" s="2" t="s">
        <v>1084</v>
      </c>
      <c r="AS203" s="1269" t="s">
        <v>1085</v>
      </c>
      <c r="AT203" s="1270"/>
      <c r="AU203" s="2" t="s">
        <v>1084</v>
      </c>
      <c r="AV203" s="1269" t="s">
        <v>1085</v>
      </c>
      <c r="AW203" s="1270"/>
      <c r="AX203" s="2" t="s">
        <v>1084</v>
      </c>
      <c r="AY203" s="1269" t="s">
        <v>1085</v>
      </c>
      <c r="AZ203" s="1270"/>
      <c r="BA203" s="2" t="s">
        <v>1084</v>
      </c>
      <c r="BB203" s="1269" t="s">
        <v>1085</v>
      </c>
      <c r="BC203" s="1270"/>
    </row>
    <row r="204" spans="18:55">
      <c r="R204" s="2" t="s">
        <v>216</v>
      </c>
      <c r="S204" s="844">
        <v>0.14000000000000001</v>
      </c>
      <c r="T204" s="878">
        <f t="shared" si="53"/>
        <v>0.85971428571428565</v>
      </c>
      <c r="U204" s="878">
        <f t="shared" si="53"/>
        <v>0.73157142857142854</v>
      </c>
      <c r="V204" s="878">
        <f t="shared" si="53"/>
        <v>0.9394285714285715</v>
      </c>
      <c r="W204" s="879">
        <f t="shared" si="53"/>
        <v>0.8194285714285714</v>
      </c>
      <c r="AN204" s="2">
        <v>11</v>
      </c>
      <c r="AO204" s="2">
        <v>798.1</v>
      </c>
      <c r="AP204" s="1269">
        <v>0</v>
      </c>
      <c r="AQ204" s="1270"/>
      <c r="AR204" s="2"/>
      <c r="AS204" s="1269"/>
      <c r="AT204" s="1270"/>
      <c r="AU204" s="2"/>
      <c r="AV204" s="1269"/>
      <c r="AW204" s="1270"/>
      <c r="AX204" s="2"/>
      <c r="AY204" s="1269"/>
      <c r="AZ204" s="1270"/>
      <c r="BA204" s="2"/>
      <c r="BB204" s="1269"/>
      <c r="BC204" s="1270"/>
    </row>
    <row r="205" spans="18:55">
      <c r="R205" s="2" t="s">
        <v>216</v>
      </c>
      <c r="S205" s="844">
        <v>0.15</v>
      </c>
      <c r="T205" s="877">
        <v>0.85799999999999998</v>
      </c>
      <c r="U205" s="877">
        <v>0.72699999999999998</v>
      </c>
      <c r="V205" s="877">
        <v>0.93700000000000006</v>
      </c>
      <c r="W205" s="877">
        <v>0.81299999999999994</v>
      </c>
      <c r="AN205" s="2">
        <v>12</v>
      </c>
      <c r="AO205" s="2">
        <f>(((AN205-AN206)*(AO206-AO204))/($AN$206-AN204))+AO204</f>
        <v>736.35</v>
      </c>
      <c r="AP205" s="1269">
        <f>(((AO205-AO206)*(AP206-AP204))/($AN$206-AO204))+AP204</f>
        <v>0</v>
      </c>
      <c r="AQ205" s="1270"/>
      <c r="AR205" s="2">
        <f>((($AN$205-$AN$204)*(AR206-AR204))/($AN$206-$AN$204))+AR204</f>
        <v>61.8</v>
      </c>
      <c r="AS205" s="1269">
        <f>((($AN$205-$AN$204)*(AS206-AS204))/($AN$206-$AN$204))+AS204</f>
        <v>0</v>
      </c>
      <c r="AT205" s="1270"/>
      <c r="AU205" s="2">
        <f>((($AN$205-$AN$204)*(AU206-AU204))/($AN$206-$AN$204))+AU204</f>
        <v>0</v>
      </c>
      <c r="AV205" s="1269">
        <f>((($AN$205-$AN$204)*(AV206-AV204))/($AN$206-$AN$204))+AV204</f>
        <v>0</v>
      </c>
      <c r="AW205" s="1270"/>
      <c r="AX205" s="2">
        <f>((($AN$205-$AN$204)*(AX206-AX204))/($AN$206-$AN$204))+AX204</f>
        <v>0</v>
      </c>
      <c r="AY205" s="1269">
        <f>((($AN$205-$AN$204)*(AY206-AY204))/($AN$206-$AN$204))+AY204</f>
        <v>0</v>
      </c>
      <c r="AZ205" s="1270"/>
      <c r="BA205" s="2">
        <f>((($AN$205-$AN$204)*(BA206-BA204))/($AN$206-$AN$204))+BA204</f>
        <v>0</v>
      </c>
      <c r="BB205" s="1269">
        <f>((($AN$205-$AN$204)*(BB206-BB204))/($AN$206-$AN$204))+BB204</f>
        <v>0</v>
      </c>
      <c r="BC205" s="1270"/>
    </row>
    <row r="206" spans="18:55">
      <c r="R206" s="2" t="s">
        <v>216</v>
      </c>
      <c r="S206" s="844">
        <v>0.16</v>
      </c>
      <c r="T206" s="878">
        <f t="shared" ref="T206:W209" si="54">((($S206-$S$205)*(T$210-T$205))/($S$210-$S$205))+T$205</f>
        <v>0.85619999999999996</v>
      </c>
      <c r="U206" s="878">
        <f t="shared" si="54"/>
        <v>0.72299999999999998</v>
      </c>
      <c r="V206" s="878">
        <f t="shared" si="54"/>
        <v>0.9346000000000001</v>
      </c>
      <c r="W206" s="879">
        <f t="shared" si="54"/>
        <v>0.80699999999999994</v>
      </c>
      <c r="AN206" s="2">
        <v>13</v>
      </c>
      <c r="AO206" s="2">
        <v>921.6</v>
      </c>
      <c r="AP206" s="1269">
        <v>0</v>
      </c>
      <c r="AQ206" s="1270"/>
      <c r="AR206" s="2">
        <v>123.6</v>
      </c>
      <c r="AS206" s="1269">
        <v>0</v>
      </c>
      <c r="AT206" s="1270"/>
      <c r="AU206" s="2">
        <v>0</v>
      </c>
      <c r="AV206" s="1269">
        <v>0</v>
      </c>
      <c r="AW206" s="1270"/>
      <c r="AX206" s="2">
        <v>0</v>
      </c>
      <c r="AY206" s="1269">
        <v>0</v>
      </c>
      <c r="AZ206" s="1270"/>
      <c r="BA206" s="2">
        <v>0</v>
      </c>
      <c r="BB206" s="1269">
        <v>0</v>
      </c>
      <c r="BC206" s="1270"/>
    </row>
    <row r="207" spans="18:55">
      <c r="R207" s="2" t="s">
        <v>216</v>
      </c>
      <c r="S207" s="844">
        <v>0.17</v>
      </c>
      <c r="T207" s="878">
        <f t="shared" si="54"/>
        <v>0.85439999999999994</v>
      </c>
      <c r="U207" s="878">
        <f t="shared" si="54"/>
        <v>0.71899999999999997</v>
      </c>
      <c r="V207" s="878">
        <f t="shared" si="54"/>
        <v>0.93220000000000003</v>
      </c>
      <c r="W207" s="879">
        <f t="shared" si="54"/>
        <v>0.80099999999999993</v>
      </c>
      <c r="AN207" s="2">
        <v>14</v>
      </c>
      <c r="AO207" s="2">
        <f t="shared" ref="AO207:AP209" si="55">((($AN207-$AN$206)*(AO$210-AO$206))/($AN$210-$AN$206))+AO$206</f>
        <v>966.5</v>
      </c>
      <c r="AP207" s="1269">
        <f t="shared" si="55"/>
        <v>0</v>
      </c>
      <c r="AQ207" s="1270"/>
      <c r="AR207" s="2">
        <f t="shared" ref="AR207:AS209" si="56">((($AN207-$AN$206)*(AR$210-AR$206))/($AN$210-$AN$206))+AR$206</f>
        <v>168.5</v>
      </c>
      <c r="AS207" s="1269">
        <f t="shared" si="56"/>
        <v>0</v>
      </c>
      <c r="AT207" s="1270"/>
      <c r="AU207" s="2">
        <f t="shared" ref="AU207:AV209" si="57">((($AN207-$AN$206)*(AU$210-AU$206))/($AN$210-$AN$206))+AU$206</f>
        <v>44.9</v>
      </c>
      <c r="AV207" s="1269">
        <f t="shared" si="57"/>
        <v>0</v>
      </c>
      <c r="AW207" s="1270"/>
      <c r="AX207" s="2">
        <f t="shared" ref="AX207:AY209" si="58">((($AN207-$AN$206)*(AX$210-AX$206))/($AN$210-$AN$206))+AX$206</f>
        <v>0</v>
      </c>
      <c r="AY207" s="1269">
        <f t="shared" si="58"/>
        <v>0</v>
      </c>
      <c r="AZ207" s="1270"/>
      <c r="BA207" s="2">
        <f t="shared" ref="BA207:BB209" si="59">((($AN207-$AN$206)*(BA$210-BA$206))/($AN$210-$AN$206))+BA$206</f>
        <v>0</v>
      </c>
      <c r="BB207" s="1269">
        <f t="shared" si="59"/>
        <v>0</v>
      </c>
      <c r="BC207" s="1270"/>
    </row>
    <row r="208" spans="18:55">
      <c r="R208" s="2" t="s">
        <v>216</v>
      </c>
      <c r="S208" s="844">
        <v>0.18</v>
      </c>
      <c r="T208" s="878">
        <f t="shared" si="54"/>
        <v>0.85260000000000002</v>
      </c>
      <c r="U208" s="878">
        <f t="shared" si="54"/>
        <v>0.71499999999999997</v>
      </c>
      <c r="V208" s="878">
        <f t="shared" si="54"/>
        <v>0.92980000000000007</v>
      </c>
      <c r="W208" s="879">
        <f t="shared" si="54"/>
        <v>0.79500000000000004</v>
      </c>
      <c r="AN208" s="2">
        <v>15</v>
      </c>
      <c r="AO208" s="2">
        <f t="shared" si="55"/>
        <v>1011.4000000000001</v>
      </c>
      <c r="AP208" s="1269">
        <f t="shared" si="55"/>
        <v>0</v>
      </c>
      <c r="AQ208" s="1270"/>
      <c r="AR208" s="2">
        <f t="shared" si="56"/>
        <v>213.39999999999998</v>
      </c>
      <c r="AS208" s="1269">
        <f t="shared" si="56"/>
        <v>0</v>
      </c>
      <c r="AT208" s="1270"/>
      <c r="AU208" s="2">
        <f t="shared" si="57"/>
        <v>89.8</v>
      </c>
      <c r="AV208" s="1269">
        <f t="shared" si="57"/>
        <v>0</v>
      </c>
      <c r="AW208" s="1270"/>
      <c r="AX208" s="2">
        <f t="shared" si="58"/>
        <v>0</v>
      </c>
      <c r="AY208" s="1269">
        <f t="shared" si="58"/>
        <v>0</v>
      </c>
      <c r="AZ208" s="1270"/>
      <c r="BA208" s="2">
        <f t="shared" si="59"/>
        <v>0</v>
      </c>
      <c r="BB208" s="1269">
        <f t="shared" si="59"/>
        <v>0</v>
      </c>
      <c r="BC208" s="1270"/>
    </row>
    <row r="209" spans="18:55">
      <c r="R209" s="2" t="s">
        <v>216</v>
      </c>
      <c r="S209" s="844">
        <v>0.19</v>
      </c>
      <c r="T209" s="878">
        <f t="shared" si="54"/>
        <v>0.8508</v>
      </c>
      <c r="U209" s="878">
        <f t="shared" si="54"/>
        <v>0.71099999999999997</v>
      </c>
      <c r="V209" s="878">
        <f t="shared" si="54"/>
        <v>0.9274</v>
      </c>
      <c r="W209" s="879">
        <f t="shared" si="54"/>
        <v>0.78900000000000003</v>
      </c>
      <c r="AN209" s="2">
        <v>16</v>
      </c>
      <c r="AO209" s="2">
        <f t="shared" si="55"/>
        <v>1056.3</v>
      </c>
      <c r="AP209" s="1269">
        <f t="shared" si="55"/>
        <v>0</v>
      </c>
      <c r="AQ209" s="1270"/>
      <c r="AR209" s="2">
        <f t="shared" si="56"/>
        <v>258.29999999999995</v>
      </c>
      <c r="AS209" s="1269">
        <f t="shared" si="56"/>
        <v>0</v>
      </c>
      <c r="AT209" s="1270"/>
      <c r="AU209" s="2">
        <f t="shared" si="57"/>
        <v>134.69999999999999</v>
      </c>
      <c r="AV209" s="1269">
        <f t="shared" si="57"/>
        <v>0</v>
      </c>
      <c r="AW209" s="1270"/>
      <c r="AX209" s="2">
        <f t="shared" si="58"/>
        <v>0</v>
      </c>
      <c r="AY209" s="1269">
        <f t="shared" si="58"/>
        <v>0</v>
      </c>
      <c r="AZ209" s="1270"/>
      <c r="BA209" s="2">
        <f t="shared" si="59"/>
        <v>0</v>
      </c>
      <c r="BB209" s="1269">
        <f t="shared" si="59"/>
        <v>0</v>
      </c>
      <c r="BC209" s="1270"/>
    </row>
    <row r="210" spans="18:55">
      <c r="R210" s="2" t="s">
        <v>216</v>
      </c>
      <c r="S210" s="844">
        <v>0.2</v>
      </c>
      <c r="T210" s="877">
        <v>0.84899999999999998</v>
      </c>
      <c r="U210" s="877">
        <v>0.70699999999999996</v>
      </c>
      <c r="V210" s="877">
        <v>0.92500000000000004</v>
      </c>
      <c r="W210" s="877">
        <v>0.78300000000000003</v>
      </c>
      <c r="AN210" s="2">
        <v>17</v>
      </c>
      <c r="AO210" s="2">
        <v>1101.2</v>
      </c>
      <c r="AP210" s="1269">
        <v>0</v>
      </c>
      <c r="AQ210" s="1270"/>
      <c r="AR210" s="2">
        <v>303.2</v>
      </c>
      <c r="AS210" s="1269">
        <v>0</v>
      </c>
      <c r="AT210" s="1270"/>
      <c r="AU210" s="2">
        <v>179.6</v>
      </c>
      <c r="AV210" s="1269">
        <v>0</v>
      </c>
      <c r="AW210" s="1270"/>
      <c r="AX210" s="2">
        <v>0</v>
      </c>
      <c r="AY210" s="1269">
        <v>0</v>
      </c>
      <c r="AZ210" s="1270"/>
      <c r="BA210" s="2">
        <v>0</v>
      </c>
      <c r="BB210" s="1269">
        <v>0</v>
      </c>
      <c r="BC210" s="1270"/>
    </row>
    <row r="211" spans="18:55">
      <c r="R211" s="2" t="s">
        <v>216</v>
      </c>
      <c r="S211" s="844">
        <v>0.21</v>
      </c>
      <c r="T211" s="878">
        <f t="shared" ref="T211:W214" si="60">((($S211-$S$210)*(T$215-T$210))/($S$215-$S$210))+T$210</f>
        <v>0.84719999999999995</v>
      </c>
      <c r="U211" s="878">
        <f t="shared" si="60"/>
        <v>0.70279999999999998</v>
      </c>
      <c r="V211" s="878">
        <f t="shared" si="60"/>
        <v>0.92220000000000002</v>
      </c>
      <c r="W211" s="879">
        <f t="shared" si="60"/>
        <v>0.77760000000000007</v>
      </c>
      <c r="AN211" s="2">
        <v>18</v>
      </c>
      <c r="AO211" s="2">
        <f>((($AN$211-$AN$210)*(AO212-AO210))/($AN$212-$AN$210))+AO210</f>
        <v>1133.95</v>
      </c>
      <c r="AP211" s="1269">
        <f>((($AN$211-$AN$210)*(AP212-AP210))/($AN$212-$AN$210))+AP210</f>
        <v>0</v>
      </c>
      <c r="AQ211" s="1270"/>
      <c r="AR211" s="2">
        <f>((($AN$211-$AN$210)*(AR212-AR210))/($AN$212-$AN$210))+AR210</f>
        <v>335.9</v>
      </c>
      <c r="AS211" s="1269">
        <f>((($AN$211-$AN$210)*(AS212-AS210))/($AN$212-$AN$210))+AS210</f>
        <v>0</v>
      </c>
      <c r="AT211" s="1270"/>
      <c r="AU211" s="2">
        <f>((($AN$211-$AN$210)*(AU212-AU210))/($AN$212-$AN$210))+AU210</f>
        <v>212.35</v>
      </c>
      <c r="AV211" s="1269">
        <f>((($AN$211-$AN$210)*(AV212-AV210))/($AN$212-$AN$210))+AV210</f>
        <v>0</v>
      </c>
      <c r="AW211" s="1270"/>
      <c r="AX211" s="2">
        <f>((($AN$211-$AN$210)*(AX212-AX210))/($AN$212-$AN$210))+AX210</f>
        <v>32.75</v>
      </c>
      <c r="AY211" s="1269">
        <f>((($AN$211-$AN$210)*(AY212-AY210))/($AN$212-$AN$210))+AY210</f>
        <v>0</v>
      </c>
      <c r="AZ211" s="1270"/>
      <c r="BA211" s="2">
        <f>((($AN$211-$AN$210)*(BA212-BA210))/($AN$212-$AN$210))+BA210</f>
        <v>0</v>
      </c>
      <c r="BB211" s="1269">
        <f>((($AN$211-$AN$210)*(BB212-BB210))/($AN$212-$AN$210))+BB210</f>
        <v>0</v>
      </c>
      <c r="BC211" s="1270"/>
    </row>
    <row r="212" spans="18:55">
      <c r="R212" s="2" t="s">
        <v>216</v>
      </c>
      <c r="S212" s="844">
        <v>0.22</v>
      </c>
      <c r="T212" s="878">
        <f t="shared" si="60"/>
        <v>0.84539999999999993</v>
      </c>
      <c r="U212" s="878">
        <f t="shared" si="60"/>
        <v>0.6986</v>
      </c>
      <c r="V212" s="878">
        <f t="shared" si="60"/>
        <v>0.9194</v>
      </c>
      <c r="W212" s="879">
        <f t="shared" si="60"/>
        <v>0.7722</v>
      </c>
      <c r="AN212" s="2">
        <v>19</v>
      </c>
      <c r="AO212" s="2">
        <v>1166.7</v>
      </c>
      <c r="AP212" s="1269">
        <v>0</v>
      </c>
      <c r="AQ212" s="1270"/>
      <c r="AR212" s="2">
        <v>368.6</v>
      </c>
      <c r="AS212" s="1269">
        <v>0</v>
      </c>
      <c r="AT212" s="1270"/>
      <c r="AU212" s="2">
        <v>245.1</v>
      </c>
      <c r="AV212" s="1269">
        <v>0</v>
      </c>
      <c r="AW212" s="1270"/>
      <c r="AX212" s="2">
        <v>65.5</v>
      </c>
      <c r="AY212" s="1269">
        <v>0</v>
      </c>
      <c r="AZ212" s="1270"/>
      <c r="BA212" s="2">
        <v>0</v>
      </c>
      <c r="BB212" s="1269">
        <v>0</v>
      </c>
      <c r="BC212" s="1270"/>
    </row>
    <row r="213" spans="18:55">
      <c r="R213" s="2" t="s">
        <v>216</v>
      </c>
      <c r="S213" s="844">
        <v>0.23</v>
      </c>
      <c r="T213" s="878">
        <f t="shared" si="60"/>
        <v>0.84360000000000002</v>
      </c>
      <c r="U213" s="878">
        <f t="shared" si="60"/>
        <v>0.69440000000000002</v>
      </c>
      <c r="V213" s="878">
        <f t="shared" si="60"/>
        <v>0.91660000000000008</v>
      </c>
      <c r="W213" s="879">
        <f t="shared" si="60"/>
        <v>0.76680000000000004</v>
      </c>
      <c r="AN213" s="2">
        <v>20</v>
      </c>
      <c r="AO213" s="2">
        <f>((($AN$213-$AN$212)*(AO214-AO212))/($AN$214-$AN$212))+AO212</f>
        <v>1194.0999999999999</v>
      </c>
      <c r="AP213" s="1269">
        <f>((($AN$213-$AN$212)*(AP214-AP212))/($AN$214-$AN$212))+AP212</f>
        <v>0</v>
      </c>
      <c r="AQ213" s="1270"/>
      <c r="AR213" s="2">
        <f>((($AN$213-$AN$212)*(AR214-AR212))/($AN$214-$AN$212))+AR212</f>
        <v>396.05</v>
      </c>
      <c r="AS213" s="1269">
        <f>((($AN$213-$AN$212)*(AS214-AS212))/($AN$214-$AN$212))+AS212</f>
        <v>0</v>
      </c>
      <c r="AT213" s="1270"/>
      <c r="AU213" s="2">
        <f>((($AN$213-$AN$212)*(AU214-AU212))/($AN$214-$AN$212))+AU212</f>
        <v>272.5</v>
      </c>
      <c r="AV213" s="1269">
        <f>((($AN$213-$AN$212)*(AV214-AV212))/($AN$214-$AN$212))+AV212</f>
        <v>0</v>
      </c>
      <c r="AW213" s="1270"/>
      <c r="AX213" s="2">
        <f>((($AN$213-$AN$212)*(AX214-AX212))/($AN$214-$AN$212))+AX212</f>
        <v>92.9</v>
      </c>
      <c r="AY213" s="1269">
        <f>((($AN$213-$AN$212)*(AY214-AY212))/($AN$214-$AN$212))+AY212</f>
        <v>0</v>
      </c>
      <c r="AZ213" s="1270"/>
      <c r="BA213" s="2">
        <f>((($AN$213-$AN$212)*(BA214-BA212))/($AN$214-$AN$212))+BA212</f>
        <v>27.4</v>
      </c>
      <c r="BB213" s="1269">
        <f>((($AN$213-$AN$212)*(BB214-BB212))/($AN$214-$AN$212))+BB212</f>
        <v>0</v>
      </c>
      <c r="BC213" s="1270"/>
    </row>
    <row r="214" spans="18:55">
      <c r="R214" s="2" t="s">
        <v>216</v>
      </c>
      <c r="S214" s="844">
        <v>0.24</v>
      </c>
      <c r="T214" s="878">
        <f t="shared" si="60"/>
        <v>0.84179999999999999</v>
      </c>
      <c r="U214" s="878">
        <f t="shared" si="60"/>
        <v>0.69020000000000004</v>
      </c>
      <c r="V214" s="878">
        <f t="shared" si="60"/>
        <v>0.91380000000000006</v>
      </c>
      <c r="W214" s="879">
        <f t="shared" si="60"/>
        <v>0.76139999999999997</v>
      </c>
      <c r="AN214" s="2">
        <v>21</v>
      </c>
      <c r="AO214" s="2">
        <v>1221.5</v>
      </c>
      <c r="AP214" s="1269">
        <v>0</v>
      </c>
      <c r="AQ214" s="1270"/>
      <c r="AR214" s="2">
        <v>423.5</v>
      </c>
      <c r="AS214" s="1269">
        <v>0</v>
      </c>
      <c r="AT214" s="1270"/>
      <c r="AU214" s="2">
        <v>299.89999999999998</v>
      </c>
      <c r="AV214" s="1269">
        <v>0</v>
      </c>
      <c r="AW214" s="1270"/>
      <c r="AX214" s="2">
        <v>120.3</v>
      </c>
      <c r="AY214" s="1269">
        <v>0</v>
      </c>
      <c r="AZ214" s="1270"/>
      <c r="BA214" s="2">
        <v>54.8</v>
      </c>
      <c r="BB214" s="1269">
        <v>0</v>
      </c>
      <c r="BC214" s="1270"/>
    </row>
    <row r="215" spans="18:55">
      <c r="R215" s="2" t="s">
        <v>216</v>
      </c>
      <c r="S215" s="844">
        <v>0.25</v>
      </c>
      <c r="T215" s="877">
        <v>0.84</v>
      </c>
      <c r="U215" s="877">
        <v>0.68600000000000005</v>
      </c>
      <c r="V215" s="877">
        <v>0.91100000000000003</v>
      </c>
      <c r="W215" s="877">
        <v>0.75600000000000001</v>
      </c>
      <c r="AN215" s="2">
        <v>22</v>
      </c>
      <c r="AO215" s="2">
        <f t="shared" ref="AO215:AP217" si="61">((($AN215-$AN$214)*(AO$218-AO$214))/($AN$218-$AN$214))+AO$214</f>
        <v>1243.0250000000001</v>
      </c>
      <c r="AP215" s="1269">
        <f t="shared" si="61"/>
        <v>0</v>
      </c>
      <c r="AQ215" s="1270"/>
      <c r="AR215" s="2">
        <f t="shared" ref="AR215:AS217" si="62">((($AN215-$AN$214)*(AR$218-AR$214))/($AN$218-$AN$214))+AR$214</f>
        <v>445</v>
      </c>
      <c r="AS215" s="1269">
        <f t="shared" si="62"/>
        <v>0</v>
      </c>
      <c r="AT215" s="1270"/>
      <c r="AU215" s="2">
        <f t="shared" ref="AU215:AV217" si="63">((($AN215-$AN$214)*(AU$218-AU$214))/($AN$218-$AN$214))+AU$214</f>
        <v>321.42499999999995</v>
      </c>
      <c r="AV215" s="1269">
        <f t="shared" si="63"/>
        <v>0</v>
      </c>
      <c r="AW215" s="1270"/>
      <c r="AX215" s="2">
        <f t="shared" ref="AX215:AY217" si="64">((($AN215-$AN$214)*(AX$218-AX$214))/($AN$218-$AN$214))+AX$214</f>
        <v>141.82499999999999</v>
      </c>
      <c r="AY215" s="1269">
        <f t="shared" si="64"/>
        <v>0</v>
      </c>
      <c r="AZ215" s="1270"/>
      <c r="BA215" s="2">
        <f>((($AN215-$AN$214)*(BA$218-BA$214))/($AN$218-$AN$214))+BA$214</f>
        <v>76.325000000000003</v>
      </c>
      <c r="BB215" s="1269">
        <f>((($AN215-$AN$214)*(BB$218-BB$214))/($AN$218-$AN$214))+BB214</f>
        <v>0</v>
      </c>
      <c r="BC215" s="1270"/>
    </row>
    <row r="216" spans="18:55">
      <c r="R216" s="2" t="s">
        <v>216</v>
      </c>
      <c r="S216" s="844">
        <v>0.26</v>
      </c>
      <c r="T216" s="878">
        <f t="shared" ref="T216:W219" si="65">((($S216-$S$215)*(T$220-T$215))/($S$220-$S$215))+T$215</f>
        <v>0.83779999999999999</v>
      </c>
      <c r="U216" s="878">
        <f t="shared" si="65"/>
        <v>0.68240000000000001</v>
      </c>
      <c r="V216" s="878">
        <f t="shared" si="65"/>
        <v>0.90839999999999999</v>
      </c>
      <c r="W216" s="879">
        <f t="shared" si="65"/>
        <v>0.751</v>
      </c>
      <c r="AN216" s="2">
        <v>23</v>
      </c>
      <c r="AO216" s="2">
        <f t="shared" si="61"/>
        <v>1264.55</v>
      </c>
      <c r="AP216" s="1269">
        <f t="shared" si="61"/>
        <v>0</v>
      </c>
      <c r="AQ216" s="1270"/>
      <c r="AR216" s="2">
        <f t="shared" si="62"/>
        <v>466.5</v>
      </c>
      <c r="AS216" s="1269">
        <f t="shared" si="62"/>
        <v>0</v>
      </c>
      <c r="AT216" s="1270"/>
      <c r="AU216" s="2">
        <f t="shared" si="63"/>
        <v>342.95</v>
      </c>
      <c r="AV216" s="1269">
        <f t="shared" si="63"/>
        <v>0</v>
      </c>
      <c r="AW216" s="1270"/>
      <c r="AX216" s="2">
        <f t="shared" si="64"/>
        <v>163.35</v>
      </c>
      <c r="AY216" s="1269">
        <f t="shared" si="64"/>
        <v>0</v>
      </c>
      <c r="AZ216" s="1270"/>
      <c r="BA216" s="2">
        <f>((($AN216-$AN$214)*(BA$218-BA$214))/($AN$218-$AN$214))+BA$214</f>
        <v>97.85</v>
      </c>
      <c r="BB216" s="1269">
        <f>((($AN216-$AN$214)*(BB$218-BB$214))/($AN$218-$AN$214))+BB215</f>
        <v>0</v>
      </c>
      <c r="BC216" s="1270"/>
    </row>
    <row r="217" spans="18:55">
      <c r="R217" s="2" t="s">
        <v>216</v>
      </c>
      <c r="S217" s="844">
        <v>0.27</v>
      </c>
      <c r="T217" s="878">
        <f t="shared" si="65"/>
        <v>0.83560000000000001</v>
      </c>
      <c r="U217" s="878">
        <f t="shared" si="65"/>
        <v>0.67880000000000007</v>
      </c>
      <c r="V217" s="878">
        <f t="shared" si="65"/>
        <v>0.90580000000000005</v>
      </c>
      <c r="W217" s="879">
        <f t="shared" si="65"/>
        <v>0.746</v>
      </c>
      <c r="AN217" s="2">
        <v>24</v>
      </c>
      <c r="AO217" s="2">
        <f t="shared" si="61"/>
        <v>1286.0749999999998</v>
      </c>
      <c r="AP217" s="1269">
        <f t="shared" si="61"/>
        <v>0</v>
      </c>
      <c r="AQ217" s="1270"/>
      <c r="AR217" s="2">
        <f t="shared" si="62"/>
        <v>488</v>
      </c>
      <c r="AS217" s="1269">
        <f t="shared" si="62"/>
        <v>0</v>
      </c>
      <c r="AT217" s="1270"/>
      <c r="AU217" s="2">
        <f t="shared" si="63"/>
        <v>364.47500000000002</v>
      </c>
      <c r="AV217" s="1269">
        <f t="shared" si="63"/>
        <v>0</v>
      </c>
      <c r="AW217" s="1270"/>
      <c r="AX217" s="2">
        <f t="shared" si="64"/>
        <v>184.875</v>
      </c>
      <c r="AY217" s="1269">
        <f t="shared" si="64"/>
        <v>0</v>
      </c>
      <c r="AZ217" s="1270"/>
      <c r="BA217" s="2">
        <f>((($AN217-$AN$214)*(BA$218-BA$214))/($AN$218-$AN$214))+BA$214</f>
        <v>119.375</v>
      </c>
      <c r="BB217" s="1269">
        <f>((($AN217-$AN$214)*(BB$218-BB$214))/($AN$218-$AN$214))+BB216</f>
        <v>0</v>
      </c>
      <c r="BC217" s="1270"/>
    </row>
    <row r="218" spans="18:55">
      <c r="R218" s="2" t="s">
        <v>216</v>
      </c>
      <c r="S218" s="844">
        <v>0.28000000000000003</v>
      </c>
      <c r="T218" s="878">
        <f t="shared" si="65"/>
        <v>0.83339999999999992</v>
      </c>
      <c r="U218" s="878">
        <f t="shared" si="65"/>
        <v>0.67520000000000002</v>
      </c>
      <c r="V218" s="878">
        <f t="shared" si="65"/>
        <v>0.9032</v>
      </c>
      <c r="W218" s="879">
        <f t="shared" si="65"/>
        <v>0.74099999999999999</v>
      </c>
      <c r="AN218" s="2">
        <v>25</v>
      </c>
      <c r="AO218" s="2">
        <v>1307.5999999999999</v>
      </c>
      <c r="AP218" s="1269">
        <v>0</v>
      </c>
      <c r="AQ218" s="1270"/>
      <c r="AR218" s="2">
        <v>509.5</v>
      </c>
      <c r="AS218" s="1269">
        <v>0</v>
      </c>
      <c r="AT218" s="1270"/>
      <c r="AU218" s="2">
        <v>386</v>
      </c>
      <c r="AV218" s="1269">
        <v>0</v>
      </c>
      <c r="AW218" s="1270"/>
      <c r="AX218" s="2">
        <v>206.4</v>
      </c>
      <c r="AY218" s="1269">
        <v>0</v>
      </c>
      <c r="AZ218" s="1270"/>
      <c r="BA218" s="2">
        <v>140.9</v>
      </c>
      <c r="BB218" s="1269">
        <v>0</v>
      </c>
      <c r="BC218" s="1270"/>
    </row>
    <row r="219" spans="18:55">
      <c r="R219" s="2" t="s">
        <v>216</v>
      </c>
      <c r="S219" s="844">
        <v>0.28999999999999998</v>
      </c>
      <c r="T219" s="878">
        <f t="shared" si="65"/>
        <v>0.83119999999999994</v>
      </c>
      <c r="U219" s="878">
        <f t="shared" si="65"/>
        <v>0.67160000000000009</v>
      </c>
      <c r="V219" s="878">
        <f t="shared" si="65"/>
        <v>0.90060000000000007</v>
      </c>
      <c r="W219" s="879">
        <f t="shared" si="65"/>
        <v>0.73599999999999999</v>
      </c>
      <c r="AN219" s="2">
        <v>26</v>
      </c>
      <c r="AO219" s="2">
        <f>((($AN$219-$AN$218)*(AO220-AO218))/($AN$220-$AN$218))+AO218</f>
        <v>1324.6</v>
      </c>
      <c r="AP219" s="1269">
        <f>((($AN$219-$AN$218)*(AP220-AP218))/($AN$220-$AN$218))+AP218</f>
        <v>0</v>
      </c>
      <c r="AQ219" s="1270"/>
      <c r="AR219" s="2">
        <f>((($AN$219-$AN$218)*(AR220-AR218))/($AN$220-$AN$218))+AR218</f>
        <v>526.54999999999995</v>
      </c>
      <c r="AS219" s="1269">
        <f>((($AN$219-$AN$218)*(AS220-AS218))/($AN$220-$AN$218))+AS218</f>
        <v>0</v>
      </c>
      <c r="AT219" s="1270"/>
      <c r="AU219" s="2">
        <f>((($AN$219-$AN$218)*(AU220-AU218))/($AN$220-$AN$218))+AU218</f>
        <v>403</v>
      </c>
      <c r="AV219" s="1269">
        <f>((($AN$219-$AN$218)*(AV220-AV218))/($AN$220-$AN$218))+AV218</f>
        <v>0</v>
      </c>
      <c r="AW219" s="1270"/>
      <c r="AX219" s="2">
        <f>((($AN$219-$AN$218)*(AX220-AX218))/($AN$220-$AN$218))+AX218</f>
        <v>223.4</v>
      </c>
      <c r="AY219" s="1269">
        <f>((($AN$219-$AN$218)*(AY220-AY218))/($AN$220-$AN$218))+AY218</f>
        <v>0</v>
      </c>
      <c r="AZ219" s="1270"/>
      <c r="BA219" s="2">
        <f>((($AN$219-$AN$218)*(BA220-BA218))/($AN$220-$AN$218))+BA218</f>
        <v>157.9</v>
      </c>
      <c r="BB219" s="1269">
        <f>((($AN$219-$AN$218)*(BB220-BB218))/($AN$220-$AN$218))+BB218</f>
        <v>0</v>
      </c>
      <c r="BC219" s="1270"/>
    </row>
    <row r="220" spans="18:55">
      <c r="R220" s="2" t="s">
        <v>216</v>
      </c>
      <c r="S220" s="844">
        <v>0.3</v>
      </c>
      <c r="T220" s="877">
        <v>0.82899999999999996</v>
      </c>
      <c r="U220" s="877">
        <v>0.66800000000000004</v>
      </c>
      <c r="V220" s="877">
        <v>0.89800000000000002</v>
      </c>
      <c r="W220" s="877">
        <v>0.73099999999999998</v>
      </c>
      <c r="AN220" s="2">
        <v>27</v>
      </c>
      <c r="AO220" s="2">
        <v>1341.6</v>
      </c>
      <c r="AP220" s="1269">
        <v>0</v>
      </c>
      <c r="AQ220" s="1270"/>
      <c r="AR220" s="2">
        <v>543.6</v>
      </c>
      <c r="AS220" s="1269">
        <v>0</v>
      </c>
      <c r="AT220" s="1270"/>
      <c r="AU220" s="2">
        <v>420</v>
      </c>
      <c r="AV220" s="1269">
        <v>0</v>
      </c>
      <c r="AW220" s="1270"/>
      <c r="AX220" s="2">
        <v>240.4</v>
      </c>
      <c r="AY220" s="1269">
        <v>0</v>
      </c>
      <c r="AZ220" s="1270"/>
      <c r="BA220" s="2">
        <v>174.9</v>
      </c>
      <c r="BB220" s="1269">
        <v>0</v>
      </c>
      <c r="BC220" s="1270"/>
    </row>
    <row r="223" spans="18:55">
      <c r="R223" s="1260" t="s">
        <v>785</v>
      </c>
      <c r="S223" s="1260"/>
      <c r="T223" s="1260"/>
      <c r="U223" s="1260"/>
      <c r="V223" s="1260"/>
      <c r="W223" s="1260"/>
      <c r="X223" s="1260"/>
      <c r="Y223" s="1260"/>
      <c r="Z223" s="1260"/>
      <c r="AA223" s="1260"/>
      <c r="AB223" s="1260"/>
      <c r="AC223" s="1260"/>
      <c r="AD223" s="1260"/>
      <c r="AE223" s="1260"/>
      <c r="AF223" s="1260"/>
      <c r="AG223" s="1261"/>
    </row>
    <row r="225" spans="18:55">
      <c r="R225" s="795" t="s">
        <v>1778</v>
      </c>
      <c r="S225" s="795" t="s">
        <v>212</v>
      </c>
      <c r="V225" s="926" t="s">
        <v>2383</v>
      </c>
      <c r="W225" s="926" t="s">
        <v>2384</v>
      </c>
      <c r="X225" s="954"/>
      <c r="Y225" s="954"/>
      <c r="Z225" s="955"/>
      <c r="AA225" s="955"/>
      <c r="AN225" s="431" t="s">
        <v>1135</v>
      </c>
    </row>
    <row r="226" spans="18:55">
      <c r="R226" s="97" t="s">
        <v>1171</v>
      </c>
      <c r="S226" s="93">
        <f>1^-0.3</f>
        <v>1</v>
      </c>
      <c r="V226" s="929">
        <v>15</v>
      </c>
      <c r="W226" s="933" t="s">
        <v>2429</v>
      </c>
      <c r="X226" s="954"/>
      <c r="Y226" s="955"/>
      <c r="Z226" s="955"/>
      <c r="AA226" s="955"/>
      <c r="AN226" s="2" t="s">
        <v>1082</v>
      </c>
      <c r="AO226" s="1269">
        <v>0</v>
      </c>
      <c r="AP226" s="1292"/>
      <c r="AQ226" s="1270"/>
      <c r="AR226" s="1269">
        <v>11</v>
      </c>
      <c r="AS226" s="1292"/>
      <c r="AT226" s="1270"/>
      <c r="AU226" s="1269">
        <v>13</v>
      </c>
      <c r="AV226" s="1292"/>
      <c r="AW226" s="1270"/>
      <c r="AX226" s="1269">
        <v>17</v>
      </c>
      <c r="AY226" s="1292"/>
      <c r="AZ226" s="1270"/>
      <c r="BA226" s="1269">
        <v>19</v>
      </c>
      <c r="BB226" s="1292"/>
      <c r="BC226" s="1270"/>
    </row>
    <row r="227" spans="18:55">
      <c r="R227" s="97" t="s">
        <v>2134</v>
      </c>
      <c r="S227" s="93">
        <v>6.2</v>
      </c>
      <c r="V227" s="954"/>
      <c r="W227" s="956"/>
      <c r="X227" s="954"/>
      <c r="Y227" s="955"/>
      <c r="Z227" s="955"/>
      <c r="AA227" s="955"/>
      <c r="AN227" s="2" t="s">
        <v>1083</v>
      </c>
      <c r="AO227" s="2" t="s">
        <v>1084</v>
      </c>
      <c r="AP227" s="2" t="s">
        <v>1085</v>
      </c>
      <c r="AQ227" s="2" t="s">
        <v>1086</v>
      </c>
      <c r="AR227" s="2" t="s">
        <v>1084</v>
      </c>
      <c r="AS227" s="2" t="s">
        <v>1085</v>
      </c>
      <c r="AT227" s="2" t="s">
        <v>1086</v>
      </c>
      <c r="AU227" s="2" t="s">
        <v>1084</v>
      </c>
      <c r="AV227" s="2" t="s">
        <v>1085</v>
      </c>
      <c r="AW227" s="2" t="s">
        <v>1086</v>
      </c>
      <c r="AX227" s="2" t="s">
        <v>1084</v>
      </c>
      <c r="AY227" s="2" t="s">
        <v>1085</v>
      </c>
      <c r="AZ227" s="2" t="s">
        <v>1086</v>
      </c>
      <c r="BA227" s="2" t="s">
        <v>1084</v>
      </c>
      <c r="BB227" s="2" t="s">
        <v>1085</v>
      </c>
      <c r="BC227" s="2" t="s">
        <v>1086</v>
      </c>
    </row>
    <row r="228" spans="18:55" ht="29">
      <c r="R228" s="97" t="s">
        <v>2130</v>
      </c>
      <c r="S228" s="888">
        <v>1017</v>
      </c>
      <c r="V228" s="926" t="s">
        <v>2386</v>
      </c>
      <c r="W228" s="933" t="s">
        <v>2387</v>
      </c>
      <c r="X228" s="954"/>
      <c r="Y228" s="954"/>
      <c r="Z228" s="954"/>
      <c r="AA228" s="955"/>
      <c r="AN228" s="2">
        <v>11</v>
      </c>
      <c r="AO228" s="2">
        <v>17.2</v>
      </c>
      <c r="AP228" s="2">
        <v>0</v>
      </c>
      <c r="AQ228" s="2">
        <v>36.700000000000003</v>
      </c>
      <c r="AR228" s="2"/>
      <c r="AS228" s="2"/>
      <c r="AT228" s="2"/>
      <c r="AU228" s="2"/>
      <c r="AV228" s="2"/>
      <c r="AW228" s="2"/>
      <c r="AX228" s="2"/>
      <c r="AY228" s="2"/>
      <c r="AZ228" s="2"/>
      <c r="BA228" s="2"/>
      <c r="BB228" s="2"/>
      <c r="BC228" s="2"/>
    </row>
    <row r="229" spans="18:55">
      <c r="R229" s="98" t="s">
        <v>2131</v>
      </c>
      <c r="S229" s="889">
        <v>4900</v>
      </c>
      <c r="V229" s="954"/>
      <c r="W229" s="956"/>
      <c r="X229" s="954"/>
      <c r="Y229" s="954"/>
      <c r="Z229" s="954"/>
      <c r="AA229" s="955"/>
      <c r="AN229" s="2">
        <v>12</v>
      </c>
      <c r="AO229" s="2">
        <f>(((AN229-AN228)*(AO230-AO228))/($AN$230-AN228))+AO228</f>
        <v>18.5</v>
      </c>
      <c r="AP229" s="2">
        <f>(((AN229-AN228)*(AP230-AP228))/($AN$230-AN228))+AP228</f>
        <v>0</v>
      </c>
      <c r="AQ229" s="2">
        <f>(((AN229-AN228)*(AQ230-AQ228))/($AN$230-AN228))+AQ228</f>
        <v>39.549999999999997</v>
      </c>
      <c r="AR229" s="2">
        <f>(((AN229-AN228)*(AR230-AR228))/($AN$230-AN228))+AR228</f>
        <v>1.3</v>
      </c>
      <c r="AS229" s="2">
        <f>(((AN229-AN228)*(AS230-AS228))/($AN$230-AN228))+AS228</f>
        <v>0</v>
      </c>
      <c r="AT229" s="2">
        <f>(((AN229-AN228)*(AT230-AT228))/($AN$230-AN228))+AT228</f>
        <v>2.8</v>
      </c>
      <c r="AU229" s="2">
        <f>(((AN229-AN228)*(AU230-AU228))/($AN$230-AN228))+AU228</f>
        <v>0</v>
      </c>
      <c r="AV229" s="2">
        <f>(((AN229-AN228)*(AV230-AV228))/($AN$230-AN228))+AV228</f>
        <v>0</v>
      </c>
      <c r="AW229" s="2">
        <f>(((AN229-AN228)*(AW230-AW228))/($AN$230-AN228))+AW228</f>
        <v>0</v>
      </c>
      <c r="AX229" s="2">
        <f>(((AN229-AN228)*(AX230-AX228))/($AN$230-AN228))+AX228</f>
        <v>0</v>
      </c>
      <c r="AY229" s="2">
        <f>(((AN229-AN228)*(AY230-AY228))/($AN$230-AN228))+AY228</f>
        <v>0</v>
      </c>
      <c r="AZ229" s="2">
        <f>(((AN229-AN228)*(AZ230-AZ228))/($AN$230-AN228))+AZ228</f>
        <v>0</v>
      </c>
      <c r="BA229" s="2">
        <f>(((AN229-AN228)*(BA230-BA228))/($AN$230-AN228))+BA228</f>
        <v>0</v>
      </c>
      <c r="BB229" s="2">
        <f>(((AN229-AN228)*(BB230-BB228))/($AN$230-AN228))+BB228</f>
        <v>0</v>
      </c>
      <c r="BC229" s="2">
        <f>(((AN229-AN228)*(BC230-BC228))/($AN$230-AN228))+BC228</f>
        <v>0</v>
      </c>
    </row>
    <row r="230" spans="18:55">
      <c r="V230" s="1265" t="s">
        <v>2430</v>
      </c>
      <c r="W230" s="1266"/>
      <c r="X230" s="1266"/>
      <c r="Y230" s="1266"/>
      <c r="Z230" s="1266"/>
      <c r="AA230" s="1266"/>
      <c r="AN230" s="2">
        <v>13</v>
      </c>
      <c r="AO230" s="2">
        <v>19.8</v>
      </c>
      <c r="AP230" s="2">
        <v>0</v>
      </c>
      <c r="AQ230" s="2">
        <v>42.4</v>
      </c>
      <c r="AR230" s="2">
        <v>2.6</v>
      </c>
      <c r="AS230" s="2">
        <v>0</v>
      </c>
      <c r="AT230" s="2">
        <v>5.6</v>
      </c>
      <c r="AU230" s="2">
        <v>0</v>
      </c>
      <c r="AV230" s="2">
        <v>0</v>
      </c>
      <c r="AW230" s="2">
        <v>0</v>
      </c>
      <c r="AX230" s="2">
        <v>0</v>
      </c>
      <c r="AY230" s="2">
        <v>0</v>
      </c>
      <c r="AZ230" s="2">
        <v>0</v>
      </c>
      <c r="BA230" s="2">
        <v>0</v>
      </c>
      <c r="BB230" s="2">
        <v>0</v>
      </c>
      <c r="BC230" s="2">
        <v>0</v>
      </c>
    </row>
    <row r="231" spans="18:55">
      <c r="R231" s="784" t="s">
        <v>2135</v>
      </c>
      <c r="S231" s="784" t="s">
        <v>2132</v>
      </c>
      <c r="T231" s="784" t="s">
        <v>2133</v>
      </c>
      <c r="V231" s="958" t="s">
        <v>433</v>
      </c>
      <c r="W231" s="958" t="s">
        <v>2389</v>
      </c>
      <c r="X231" s="1265" t="s">
        <v>2431</v>
      </c>
      <c r="Y231" s="1266"/>
      <c r="Z231" s="1266"/>
      <c r="AA231" s="1266"/>
      <c r="AN231" s="2">
        <v>14</v>
      </c>
      <c r="AO231" s="2">
        <f t="shared" ref="AO231:BC233" si="66">((($AN231-$AN$230)*(AO$234-AO$230))/($AN$234-$AN$230))+AO$230</f>
        <v>20.774999999999999</v>
      </c>
      <c r="AP231" s="2">
        <f t="shared" si="66"/>
        <v>0</v>
      </c>
      <c r="AQ231" s="2">
        <f t="shared" si="66"/>
        <v>44.45</v>
      </c>
      <c r="AR231" s="2">
        <f t="shared" si="66"/>
        <v>3.5750000000000002</v>
      </c>
      <c r="AS231" s="2">
        <f t="shared" si="66"/>
        <v>0</v>
      </c>
      <c r="AT231" s="2">
        <f t="shared" si="66"/>
        <v>7.6749999999999998</v>
      </c>
      <c r="AU231" s="2">
        <f t="shared" si="66"/>
        <v>0.97499999999999998</v>
      </c>
      <c r="AV231" s="2">
        <f t="shared" si="66"/>
        <v>0</v>
      </c>
      <c r="AW231" s="2">
        <f t="shared" si="66"/>
        <v>2.0499999999999998</v>
      </c>
      <c r="AX231" s="2">
        <f t="shared" si="66"/>
        <v>0</v>
      </c>
      <c r="AY231" s="2">
        <f t="shared" si="66"/>
        <v>0</v>
      </c>
      <c r="AZ231" s="2">
        <f t="shared" si="66"/>
        <v>0</v>
      </c>
      <c r="BA231" s="2">
        <f t="shared" si="66"/>
        <v>0</v>
      </c>
      <c r="BB231" s="2">
        <f t="shared" si="66"/>
        <v>0</v>
      </c>
      <c r="BC231" s="2">
        <f t="shared" si="66"/>
        <v>0</v>
      </c>
    </row>
    <row r="232" spans="18:55">
      <c r="R232" s="785"/>
      <c r="S232" s="785"/>
      <c r="T232" s="785"/>
      <c r="V232" s="1298" t="s">
        <v>2432</v>
      </c>
      <c r="W232" s="938" t="s">
        <v>2433</v>
      </c>
      <c r="X232" s="1283" t="s">
        <v>2434</v>
      </c>
      <c r="Y232" s="1301"/>
      <c r="Z232" s="1301"/>
      <c r="AA232" s="1284"/>
      <c r="AN232" s="2">
        <v>15</v>
      </c>
      <c r="AO232" s="2">
        <f t="shared" si="66"/>
        <v>21.75</v>
      </c>
      <c r="AP232" s="2">
        <f t="shared" si="66"/>
        <v>0</v>
      </c>
      <c r="AQ232" s="2">
        <f t="shared" si="66"/>
        <v>46.5</v>
      </c>
      <c r="AR232" s="2">
        <f t="shared" si="66"/>
        <v>4.55</v>
      </c>
      <c r="AS232" s="2">
        <f t="shared" si="66"/>
        <v>0</v>
      </c>
      <c r="AT232" s="2">
        <f t="shared" si="66"/>
        <v>9.75</v>
      </c>
      <c r="AU232" s="2">
        <f t="shared" si="66"/>
        <v>1.95</v>
      </c>
      <c r="AV232" s="2">
        <f t="shared" si="66"/>
        <v>0</v>
      </c>
      <c r="AW232" s="2">
        <f t="shared" si="66"/>
        <v>4.0999999999999996</v>
      </c>
      <c r="AX232" s="2">
        <f t="shared" si="66"/>
        <v>0</v>
      </c>
      <c r="AY232" s="2">
        <f t="shared" si="66"/>
        <v>0</v>
      </c>
      <c r="AZ232" s="2">
        <f t="shared" si="66"/>
        <v>0</v>
      </c>
      <c r="BA232" s="2">
        <f t="shared" si="66"/>
        <v>0</v>
      </c>
      <c r="BB232" s="2">
        <f t="shared" si="66"/>
        <v>0</v>
      </c>
      <c r="BC232" s="2">
        <f t="shared" si="66"/>
        <v>0</v>
      </c>
    </row>
    <row r="233" spans="18:55">
      <c r="R233" s="2" t="s">
        <v>2136</v>
      </c>
      <c r="S233" s="890">
        <v>9</v>
      </c>
      <c r="T233" s="890">
        <v>8</v>
      </c>
      <c r="V233" s="1299"/>
      <c r="W233" s="938" t="s">
        <v>2397</v>
      </c>
      <c r="X233" s="1302" t="s">
        <v>2435</v>
      </c>
      <c r="Y233" s="1303"/>
      <c r="Z233" s="1303"/>
      <c r="AA233" s="1304"/>
      <c r="AN233" s="2">
        <v>16</v>
      </c>
      <c r="AO233" s="2">
        <f t="shared" si="66"/>
        <v>22.725000000000001</v>
      </c>
      <c r="AP233" s="2">
        <f t="shared" si="66"/>
        <v>0</v>
      </c>
      <c r="AQ233" s="2">
        <f t="shared" si="66"/>
        <v>48.55</v>
      </c>
      <c r="AR233" s="2">
        <f t="shared" si="66"/>
        <v>5.5250000000000004</v>
      </c>
      <c r="AS233" s="2">
        <f t="shared" si="66"/>
        <v>0</v>
      </c>
      <c r="AT233" s="2">
        <f t="shared" si="66"/>
        <v>11.824999999999999</v>
      </c>
      <c r="AU233" s="2">
        <f t="shared" si="66"/>
        <v>2.9249999999999998</v>
      </c>
      <c r="AV233" s="2">
        <f t="shared" si="66"/>
        <v>0</v>
      </c>
      <c r="AW233" s="2">
        <f t="shared" si="66"/>
        <v>6.1499999999999995</v>
      </c>
      <c r="AX233" s="2">
        <f t="shared" si="66"/>
        <v>0</v>
      </c>
      <c r="AY233" s="2">
        <f t="shared" si="66"/>
        <v>0</v>
      </c>
      <c r="AZ233" s="2">
        <f t="shared" si="66"/>
        <v>0</v>
      </c>
      <c r="BA233" s="2">
        <f t="shared" si="66"/>
        <v>0</v>
      </c>
      <c r="BB233" s="2">
        <f t="shared" si="66"/>
        <v>0</v>
      </c>
      <c r="BC233" s="2">
        <f t="shared" si="66"/>
        <v>0</v>
      </c>
    </row>
    <row r="234" spans="18:55" ht="16.5">
      <c r="R234" s="2" t="s">
        <v>2632</v>
      </c>
      <c r="S234" s="890">
        <v>10</v>
      </c>
      <c r="T234" s="890">
        <v>9</v>
      </c>
      <c r="V234" s="1299"/>
      <c r="W234" s="938" t="s">
        <v>2395</v>
      </c>
      <c r="X234" s="1283" t="s">
        <v>2396</v>
      </c>
      <c r="Y234" s="1301"/>
      <c r="Z234" s="1301"/>
      <c r="AA234" s="1284"/>
      <c r="AN234" s="2">
        <v>17</v>
      </c>
      <c r="AO234" s="2">
        <v>23.7</v>
      </c>
      <c r="AP234" s="2">
        <v>0</v>
      </c>
      <c r="AQ234" s="2">
        <v>50.6</v>
      </c>
      <c r="AR234" s="2">
        <v>6.5</v>
      </c>
      <c r="AS234" s="2">
        <v>0</v>
      </c>
      <c r="AT234" s="2">
        <v>13.9</v>
      </c>
      <c r="AU234" s="2">
        <v>3.9</v>
      </c>
      <c r="AV234" s="2">
        <v>0</v>
      </c>
      <c r="AW234" s="2">
        <v>8.1999999999999993</v>
      </c>
      <c r="AX234" s="2">
        <v>0</v>
      </c>
      <c r="AY234" s="2">
        <v>0</v>
      </c>
      <c r="AZ234" s="2">
        <v>0</v>
      </c>
      <c r="BA234" s="2">
        <v>0</v>
      </c>
      <c r="BB234" s="2">
        <v>0</v>
      </c>
      <c r="BC234" s="2">
        <v>0</v>
      </c>
    </row>
    <row r="235" spans="18:55">
      <c r="R235" s="2" t="s">
        <v>2137</v>
      </c>
      <c r="S235" s="890">
        <v>12</v>
      </c>
      <c r="T235" s="890">
        <v>10</v>
      </c>
      <c r="V235" s="1299"/>
      <c r="W235" s="938" t="s">
        <v>2397</v>
      </c>
      <c r="X235" s="1283" t="s">
        <v>2398</v>
      </c>
      <c r="Y235" s="1301"/>
      <c r="Z235" s="1301"/>
      <c r="AA235" s="1284"/>
      <c r="AN235" s="2">
        <v>18</v>
      </c>
      <c r="AO235" s="2">
        <f t="shared" ref="AO235:BC235" si="67">((($AN$235-$AN$234)*(AO236-AO234))/($AN$236-$AN$234))+AO234</f>
        <v>24.4</v>
      </c>
      <c r="AP235" s="2">
        <f t="shared" si="67"/>
        <v>0</v>
      </c>
      <c r="AQ235" s="2">
        <f t="shared" si="67"/>
        <v>37.200000000000003</v>
      </c>
      <c r="AR235" s="2">
        <f t="shared" si="67"/>
        <v>7.2</v>
      </c>
      <c r="AS235" s="2">
        <f t="shared" si="67"/>
        <v>0</v>
      </c>
      <c r="AT235" s="2">
        <f t="shared" si="67"/>
        <v>15.45</v>
      </c>
      <c r="AU235" s="2">
        <f t="shared" si="67"/>
        <v>4.5999999999999996</v>
      </c>
      <c r="AV235" s="2">
        <f t="shared" si="67"/>
        <v>0</v>
      </c>
      <c r="AW235" s="2">
        <f t="shared" si="67"/>
        <v>9.8000000000000007</v>
      </c>
      <c r="AX235" s="2">
        <f t="shared" si="67"/>
        <v>0.7</v>
      </c>
      <c r="AY235" s="2">
        <f t="shared" si="67"/>
        <v>0</v>
      </c>
      <c r="AZ235" s="2">
        <f t="shared" si="67"/>
        <v>1.55</v>
      </c>
      <c r="BA235" s="2">
        <f t="shared" si="67"/>
        <v>0</v>
      </c>
      <c r="BB235" s="2">
        <f t="shared" si="67"/>
        <v>0</v>
      </c>
      <c r="BC235" s="2">
        <f t="shared" si="67"/>
        <v>0</v>
      </c>
    </row>
    <row r="236" spans="18:55" ht="16.5">
      <c r="R236" s="2" t="s">
        <v>2138</v>
      </c>
      <c r="S236" s="890">
        <v>16</v>
      </c>
      <c r="T236" s="890">
        <v>13</v>
      </c>
      <c r="V236" s="1299"/>
      <c r="W236" s="938" t="s">
        <v>2399</v>
      </c>
      <c r="X236" s="1283" t="s">
        <v>2436</v>
      </c>
      <c r="Y236" s="1301"/>
      <c r="Z236" s="1301"/>
      <c r="AA236" s="1284"/>
      <c r="AN236" s="2">
        <v>19</v>
      </c>
      <c r="AO236" s="2">
        <v>25.1</v>
      </c>
      <c r="AP236" s="2">
        <v>0</v>
      </c>
      <c r="AQ236" s="2">
        <v>23.8</v>
      </c>
      <c r="AR236" s="2">
        <v>7.9</v>
      </c>
      <c r="AS236" s="2">
        <v>0</v>
      </c>
      <c r="AT236" s="2">
        <v>17</v>
      </c>
      <c r="AU236" s="2">
        <v>5.3</v>
      </c>
      <c r="AV236" s="2">
        <v>0</v>
      </c>
      <c r="AW236" s="2">
        <v>11.4</v>
      </c>
      <c r="AX236" s="2">
        <v>1.4</v>
      </c>
      <c r="AY236" s="2">
        <v>0</v>
      </c>
      <c r="AZ236" s="2">
        <v>3.1</v>
      </c>
      <c r="BA236" s="2">
        <v>0</v>
      </c>
      <c r="BB236" s="2">
        <v>0</v>
      </c>
      <c r="BC236" s="2">
        <v>0</v>
      </c>
    </row>
    <row r="237" spans="18:55" ht="16.5">
      <c r="R237" s="2" t="s">
        <v>2139</v>
      </c>
      <c r="S237" s="890">
        <v>27</v>
      </c>
      <c r="T237" s="890">
        <v>22</v>
      </c>
      <c r="V237" s="1299"/>
      <c r="W237" s="938" t="s">
        <v>2401</v>
      </c>
      <c r="X237" s="1283" t="s">
        <v>2402</v>
      </c>
      <c r="Y237" s="1301"/>
      <c r="Z237" s="1301"/>
      <c r="AA237" s="1284"/>
      <c r="AN237" s="2">
        <v>20</v>
      </c>
      <c r="AO237" s="2">
        <f t="shared" ref="AO237:BC237" si="68">((($AN$237-$AN$236)*(AO238-AO236))/($AN$238-$AN$236))+AO236</f>
        <v>25.700000000000003</v>
      </c>
      <c r="AP237" s="2">
        <f t="shared" si="68"/>
        <v>0</v>
      </c>
      <c r="AQ237" s="2">
        <f t="shared" si="68"/>
        <v>40.049999999999997</v>
      </c>
      <c r="AR237" s="2">
        <f t="shared" si="68"/>
        <v>8.5</v>
      </c>
      <c r="AS237" s="2">
        <f t="shared" si="68"/>
        <v>0</v>
      </c>
      <c r="AT237" s="2">
        <f t="shared" si="68"/>
        <v>18.25</v>
      </c>
      <c r="AU237" s="2">
        <f t="shared" si="68"/>
        <v>5.9</v>
      </c>
      <c r="AV237" s="2">
        <f t="shared" si="68"/>
        <v>0</v>
      </c>
      <c r="AW237" s="2">
        <f t="shared" si="68"/>
        <v>12.65</v>
      </c>
      <c r="AX237" s="2">
        <f t="shared" si="68"/>
        <v>2</v>
      </c>
      <c r="AY237" s="2">
        <f t="shared" si="68"/>
        <v>0</v>
      </c>
      <c r="AZ237" s="2">
        <f t="shared" si="68"/>
        <v>4.3499999999999996</v>
      </c>
      <c r="BA237" s="2">
        <f t="shared" si="68"/>
        <v>0.6</v>
      </c>
      <c r="BB237" s="2">
        <f t="shared" si="68"/>
        <v>0</v>
      </c>
      <c r="BC237" s="2">
        <f t="shared" si="68"/>
        <v>1.25</v>
      </c>
    </row>
    <row r="238" spans="18:55" ht="16.5">
      <c r="V238" s="1300"/>
      <c r="W238" s="938" t="s">
        <v>2403</v>
      </c>
      <c r="X238" s="1287" t="s">
        <v>2404</v>
      </c>
      <c r="Y238" s="1305"/>
      <c r="Z238" s="1305"/>
      <c r="AA238" s="1288"/>
      <c r="AN238" s="2">
        <v>21</v>
      </c>
      <c r="AO238" s="2">
        <v>26.3</v>
      </c>
      <c r="AP238" s="2">
        <v>0</v>
      </c>
      <c r="AQ238" s="2">
        <v>56.3</v>
      </c>
      <c r="AR238" s="2">
        <v>9.1</v>
      </c>
      <c r="AS238" s="2">
        <v>0</v>
      </c>
      <c r="AT238" s="2">
        <v>19.5</v>
      </c>
      <c r="AU238" s="2">
        <v>6.5</v>
      </c>
      <c r="AV238" s="2">
        <v>0</v>
      </c>
      <c r="AW238" s="2">
        <v>13.9</v>
      </c>
      <c r="AX238" s="2">
        <v>2.6</v>
      </c>
      <c r="AY238" s="2">
        <v>0</v>
      </c>
      <c r="AZ238" s="2">
        <v>5.6</v>
      </c>
      <c r="BA238" s="2">
        <v>1.2</v>
      </c>
      <c r="BB238" s="2">
        <v>0</v>
      </c>
      <c r="BC238" s="2">
        <v>2.5</v>
      </c>
    </row>
    <row r="239" spans="18:55">
      <c r="R239" s="784" t="s">
        <v>2374</v>
      </c>
      <c r="V239" s="954"/>
      <c r="W239" s="956"/>
      <c r="X239" s="954"/>
      <c r="Y239" s="954"/>
      <c r="Z239" s="954"/>
      <c r="AA239" s="955"/>
      <c r="AN239" s="886">
        <v>22</v>
      </c>
      <c r="AO239" s="886">
        <f t="shared" ref="AO239:BC241" si="69">((($AN239-$AN$238)*(AO$242-AO$238))/($AN$242-$AN$238))+AO$238</f>
        <v>26.8</v>
      </c>
      <c r="AP239" s="886">
        <f t="shared" si="69"/>
        <v>0</v>
      </c>
      <c r="AQ239" s="886">
        <f t="shared" si="69"/>
        <v>57.3</v>
      </c>
      <c r="AR239" s="886">
        <f t="shared" si="69"/>
        <v>9.6</v>
      </c>
      <c r="AS239" s="886">
        <f t="shared" si="69"/>
        <v>0</v>
      </c>
      <c r="AT239" s="886">
        <f t="shared" si="69"/>
        <v>20.5</v>
      </c>
      <c r="AU239" s="886">
        <f t="shared" si="69"/>
        <v>7</v>
      </c>
      <c r="AV239" s="886">
        <f t="shared" si="69"/>
        <v>0</v>
      </c>
      <c r="AW239" s="886">
        <f t="shared" si="69"/>
        <v>14.9</v>
      </c>
      <c r="AX239" s="886">
        <f t="shared" si="69"/>
        <v>3.1</v>
      </c>
      <c r="AY239" s="886">
        <f t="shared" si="69"/>
        <v>0</v>
      </c>
      <c r="AZ239" s="886">
        <f t="shared" si="69"/>
        <v>6.6</v>
      </c>
      <c r="BA239" s="886">
        <f t="shared" si="69"/>
        <v>1.675</v>
      </c>
      <c r="BB239" s="886">
        <f t="shared" si="69"/>
        <v>0</v>
      </c>
      <c r="BC239" s="886">
        <f t="shared" si="69"/>
        <v>3.5</v>
      </c>
    </row>
    <row r="240" spans="18:55">
      <c r="R240" s="873">
        <v>3.4120000000000001E-3</v>
      </c>
      <c r="S240" s="874" t="s">
        <v>1784</v>
      </c>
      <c r="V240" s="954"/>
      <c r="W240" s="956"/>
      <c r="X240" s="954"/>
      <c r="Y240" s="954"/>
      <c r="Z240" s="954"/>
      <c r="AA240" s="955"/>
      <c r="AN240" s="2">
        <v>23</v>
      </c>
      <c r="AO240" s="886">
        <f t="shared" si="69"/>
        <v>27.3</v>
      </c>
      <c r="AP240" s="886">
        <f t="shared" si="69"/>
        <v>0</v>
      </c>
      <c r="AQ240" s="886">
        <f t="shared" si="69"/>
        <v>58.3</v>
      </c>
      <c r="AR240" s="886">
        <f t="shared" si="69"/>
        <v>10.1</v>
      </c>
      <c r="AS240" s="886">
        <f t="shared" si="69"/>
        <v>0</v>
      </c>
      <c r="AT240" s="886">
        <f t="shared" si="69"/>
        <v>21.5</v>
      </c>
      <c r="AU240" s="886">
        <f t="shared" si="69"/>
        <v>7.5</v>
      </c>
      <c r="AV240" s="886">
        <f t="shared" si="69"/>
        <v>0</v>
      </c>
      <c r="AW240" s="886">
        <f t="shared" si="69"/>
        <v>15.899999999999999</v>
      </c>
      <c r="AX240" s="886">
        <f t="shared" si="69"/>
        <v>3.5999999999999996</v>
      </c>
      <c r="AY240" s="886">
        <f t="shared" si="69"/>
        <v>0</v>
      </c>
      <c r="AZ240" s="886">
        <f t="shared" si="69"/>
        <v>7.6</v>
      </c>
      <c r="BA240" s="886">
        <f t="shared" si="69"/>
        <v>2.15</v>
      </c>
      <c r="BB240" s="886">
        <f t="shared" si="69"/>
        <v>0</v>
      </c>
      <c r="BC240" s="886">
        <f t="shared" si="69"/>
        <v>4.5</v>
      </c>
    </row>
    <row r="241" spans="22:55">
      <c r="V241" s="1265" t="s">
        <v>2405</v>
      </c>
      <c r="W241" s="1266"/>
      <c r="X241" s="1266"/>
      <c r="Y241" s="1266"/>
      <c r="Z241" s="954"/>
      <c r="AA241" s="955"/>
      <c r="AN241" s="2">
        <v>24</v>
      </c>
      <c r="AO241" s="886">
        <f t="shared" si="69"/>
        <v>27.8</v>
      </c>
      <c r="AP241" s="886">
        <f t="shared" si="69"/>
        <v>0</v>
      </c>
      <c r="AQ241" s="886">
        <f t="shared" si="69"/>
        <v>59.3</v>
      </c>
      <c r="AR241" s="886">
        <f t="shared" si="69"/>
        <v>10.6</v>
      </c>
      <c r="AS241" s="886">
        <f t="shared" si="69"/>
        <v>0</v>
      </c>
      <c r="AT241" s="886">
        <f t="shared" si="69"/>
        <v>22.5</v>
      </c>
      <c r="AU241" s="886">
        <f t="shared" si="69"/>
        <v>8</v>
      </c>
      <c r="AV241" s="886">
        <f t="shared" si="69"/>
        <v>0</v>
      </c>
      <c r="AW241" s="886">
        <f t="shared" si="69"/>
        <v>16.899999999999999</v>
      </c>
      <c r="AX241" s="886">
        <f t="shared" si="69"/>
        <v>4.0999999999999996</v>
      </c>
      <c r="AY241" s="886">
        <f t="shared" si="69"/>
        <v>0</v>
      </c>
      <c r="AZ241" s="886">
        <f t="shared" si="69"/>
        <v>8.6</v>
      </c>
      <c r="BA241" s="886">
        <f t="shared" si="69"/>
        <v>2.625</v>
      </c>
      <c r="BB241" s="886">
        <f t="shared" si="69"/>
        <v>0</v>
      </c>
      <c r="BC241" s="886">
        <f t="shared" si="69"/>
        <v>5.5</v>
      </c>
    </row>
    <row r="242" spans="22:55">
      <c r="V242" s="960" t="s">
        <v>2406</v>
      </c>
      <c r="W242" s="957" t="s">
        <v>212</v>
      </c>
      <c r="X242" s="960" t="s">
        <v>2407</v>
      </c>
      <c r="Y242" s="960" t="s">
        <v>2408</v>
      </c>
      <c r="Z242" s="954"/>
      <c r="AA242" s="955"/>
      <c r="AN242" s="2">
        <v>25</v>
      </c>
      <c r="AO242" s="2">
        <v>28.3</v>
      </c>
      <c r="AP242" s="2">
        <v>0</v>
      </c>
      <c r="AQ242" s="2">
        <v>60.3</v>
      </c>
      <c r="AR242" s="2">
        <v>11.1</v>
      </c>
      <c r="AS242" s="2">
        <v>0</v>
      </c>
      <c r="AT242" s="2">
        <v>23.5</v>
      </c>
      <c r="AU242" s="2">
        <v>8.5</v>
      </c>
      <c r="AV242" s="2">
        <v>0</v>
      </c>
      <c r="AW242" s="2">
        <v>17.899999999999999</v>
      </c>
      <c r="AX242" s="2">
        <v>4.5999999999999996</v>
      </c>
      <c r="AY242" s="2">
        <v>0</v>
      </c>
      <c r="AZ242" s="2">
        <v>9.6</v>
      </c>
      <c r="BA242" s="2">
        <v>3.1</v>
      </c>
      <c r="BB242" s="2">
        <v>0</v>
      </c>
      <c r="BC242" s="2">
        <v>6.5</v>
      </c>
    </row>
    <row r="243" spans="22:55" ht="29">
      <c r="V243" s="924" t="s">
        <v>2437</v>
      </c>
      <c r="W243" s="961" t="s">
        <v>2423</v>
      </c>
      <c r="X243" s="951" t="s">
        <v>2438</v>
      </c>
      <c r="Y243" s="924" t="s">
        <v>2385</v>
      </c>
      <c r="Z243" s="962"/>
      <c r="AA243" s="963"/>
      <c r="AN243" s="2">
        <v>26</v>
      </c>
      <c r="AO243" s="2">
        <f t="shared" ref="AO243:BC243" si="70">((($AN$243-$AN$242)*(AO244-AO242))/($AN$244-$AN$242))+AO242</f>
        <v>28.65</v>
      </c>
      <c r="AP243" s="2">
        <f t="shared" si="70"/>
        <v>0</v>
      </c>
      <c r="AQ243" s="2">
        <f t="shared" si="70"/>
        <v>61.05</v>
      </c>
      <c r="AR243" s="2">
        <f t="shared" si="70"/>
        <v>11.45</v>
      </c>
      <c r="AS243" s="2">
        <f t="shared" si="70"/>
        <v>0</v>
      </c>
      <c r="AT243" s="2">
        <f t="shared" si="70"/>
        <v>24.25</v>
      </c>
      <c r="AU243" s="2">
        <f t="shared" si="70"/>
        <v>8.85</v>
      </c>
      <c r="AV243" s="2">
        <f t="shared" si="70"/>
        <v>0</v>
      </c>
      <c r="AW243" s="2">
        <f t="shared" si="70"/>
        <v>18.649999999999999</v>
      </c>
      <c r="AX243" s="2">
        <f t="shared" si="70"/>
        <v>4.9499999999999993</v>
      </c>
      <c r="AY243" s="2">
        <f t="shared" si="70"/>
        <v>0</v>
      </c>
      <c r="AZ243" s="2">
        <f t="shared" si="70"/>
        <v>10.399999999999999</v>
      </c>
      <c r="BA243" s="2">
        <f t="shared" si="70"/>
        <v>3.5</v>
      </c>
      <c r="BB243" s="2">
        <f t="shared" si="70"/>
        <v>0</v>
      </c>
      <c r="BC243" s="2">
        <f t="shared" si="70"/>
        <v>7.25</v>
      </c>
    </row>
    <row r="244" spans="22:55">
      <c r="V244" s="964" t="s">
        <v>2439</v>
      </c>
      <c r="W244" s="961" t="s">
        <v>2423</v>
      </c>
      <c r="X244" s="951" t="s">
        <v>2438</v>
      </c>
      <c r="Y244" s="924" t="s">
        <v>2385</v>
      </c>
      <c r="Z244" s="955"/>
      <c r="AA244" s="963"/>
      <c r="AN244" s="2">
        <v>27</v>
      </c>
      <c r="AO244" s="2">
        <v>29</v>
      </c>
      <c r="AP244" s="2">
        <v>0</v>
      </c>
      <c r="AQ244" s="2">
        <v>61.8</v>
      </c>
      <c r="AR244" s="2">
        <v>11.8</v>
      </c>
      <c r="AS244" s="2">
        <v>0</v>
      </c>
      <c r="AT244" s="2">
        <v>25</v>
      </c>
      <c r="AU244" s="2">
        <v>9.1999999999999993</v>
      </c>
      <c r="AV244" s="2">
        <v>0</v>
      </c>
      <c r="AW244" s="2">
        <v>19.399999999999999</v>
      </c>
      <c r="AX244" s="2">
        <v>5.3</v>
      </c>
      <c r="AY244" s="2">
        <v>0</v>
      </c>
      <c r="AZ244" s="2">
        <v>11.2</v>
      </c>
      <c r="BA244" s="2">
        <v>3.9</v>
      </c>
      <c r="BB244" s="2">
        <v>0</v>
      </c>
      <c r="BC244" s="2">
        <v>8</v>
      </c>
    </row>
    <row r="245" spans="22:55">
      <c r="V245" s="964" t="s">
        <v>2440</v>
      </c>
      <c r="W245" s="961" t="s">
        <v>2423</v>
      </c>
      <c r="X245" s="951" t="s">
        <v>2438</v>
      </c>
      <c r="Y245" s="924" t="s">
        <v>2385</v>
      </c>
      <c r="Z245" s="955"/>
      <c r="AA245" s="963"/>
    </row>
    <row r="246" spans="22:55">
      <c r="V246" s="964" t="s">
        <v>2441</v>
      </c>
      <c r="W246" s="961" t="s">
        <v>2423</v>
      </c>
      <c r="X246" s="951" t="s">
        <v>2417</v>
      </c>
      <c r="Y246" s="924" t="s">
        <v>2385</v>
      </c>
      <c r="Z246" s="955"/>
      <c r="AA246" s="963"/>
    </row>
    <row r="247" spans="22:55" ht="101.5">
      <c r="V247" s="965" t="s">
        <v>2442</v>
      </c>
      <c r="W247" s="966" t="s">
        <v>2443</v>
      </c>
      <c r="X247" s="951" t="s">
        <v>2444</v>
      </c>
      <c r="Y247" s="924" t="s">
        <v>2385</v>
      </c>
      <c r="Z247" s="955"/>
      <c r="AA247" s="963"/>
    </row>
    <row r="248" spans="22:55" ht="101.5">
      <c r="V248" s="965" t="s">
        <v>2445</v>
      </c>
      <c r="W248" s="966" t="s">
        <v>2446</v>
      </c>
      <c r="X248" s="951" t="s">
        <v>2444</v>
      </c>
      <c r="Y248" s="924" t="s">
        <v>2385</v>
      </c>
      <c r="Z248" s="955"/>
      <c r="AA248" s="963"/>
    </row>
    <row r="249" spans="22:55" ht="16.5">
      <c r="V249" s="964" t="s">
        <v>2447</v>
      </c>
      <c r="W249" s="966" t="s">
        <v>2423</v>
      </c>
      <c r="X249" s="951" t="s">
        <v>2448</v>
      </c>
      <c r="Y249" s="924" t="s">
        <v>2385</v>
      </c>
      <c r="Z249" s="955"/>
      <c r="AA249" s="963"/>
      <c r="AN249" s="431" t="s">
        <v>1136</v>
      </c>
    </row>
    <row r="250" spans="22:55" ht="39">
      <c r="V250" s="964" t="s">
        <v>2449</v>
      </c>
      <c r="W250" s="966" t="s">
        <v>2450</v>
      </c>
      <c r="X250" s="951" t="s">
        <v>2417</v>
      </c>
      <c r="Y250" s="924" t="s">
        <v>2385</v>
      </c>
      <c r="Z250" s="955"/>
      <c r="AA250" s="963"/>
      <c r="AN250" s="2" t="s">
        <v>1082</v>
      </c>
      <c r="AO250" s="880">
        <v>0</v>
      </c>
      <c r="AP250" s="880"/>
      <c r="AQ250" s="880"/>
      <c r="AR250" s="880">
        <v>11</v>
      </c>
      <c r="AS250" s="880"/>
      <c r="AT250" s="880"/>
      <c r="AU250" s="880">
        <v>19</v>
      </c>
      <c r="AV250" s="880"/>
      <c r="AW250" s="880"/>
      <c r="AX250" s="880">
        <v>30</v>
      </c>
      <c r="AY250" s="880"/>
      <c r="AZ250" s="880"/>
      <c r="BA250" s="880">
        <v>38</v>
      </c>
      <c r="BB250" s="880"/>
      <c r="BC250" s="880"/>
    </row>
    <row r="251" spans="22:55" ht="39">
      <c r="V251" s="964" t="s">
        <v>2451</v>
      </c>
      <c r="W251" s="966" t="s">
        <v>2450</v>
      </c>
      <c r="X251" s="951" t="s">
        <v>2417</v>
      </c>
      <c r="Y251" s="924" t="s">
        <v>2385</v>
      </c>
      <c r="Z251" s="955"/>
      <c r="AA251" s="963"/>
      <c r="AN251" s="2" t="s">
        <v>1083</v>
      </c>
      <c r="AO251" s="2" t="s">
        <v>1084</v>
      </c>
      <c r="AP251" s="2" t="s">
        <v>1085</v>
      </c>
      <c r="AQ251" s="2" t="s">
        <v>1086</v>
      </c>
      <c r="AR251" s="2" t="s">
        <v>1084</v>
      </c>
      <c r="AS251" s="2" t="s">
        <v>1085</v>
      </c>
      <c r="AT251" s="2" t="s">
        <v>1086</v>
      </c>
      <c r="AU251" s="2" t="s">
        <v>1084</v>
      </c>
      <c r="AV251" s="2" t="s">
        <v>1085</v>
      </c>
      <c r="AW251" s="2" t="s">
        <v>1086</v>
      </c>
      <c r="AX251" s="2" t="s">
        <v>1084</v>
      </c>
      <c r="AY251" s="2" t="s">
        <v>1085</v>
      </c>
      <c r="AZ251" s="2" t="s">
        <v>1086</v>
      </c>
      <c r="BA251" s="2" t="s">
        <v>1084</v>
      </c>
      <c r="BB251" s="2" t="s">
        <v>1085</v>
      </c>
      <c r="BC251" s="2" t="s">
        <v>1086</v>
      </c>
    </row>
    <row r="252" spans="22:55" ht="91">
      <c r="V252" s="964" t="s">
        <v>2452</v>
      </c>
      <c r="W252" s="966" t="s">
        <v>2453</v>
      </c>
      <c r="X252" s="951" t="s">
        <v>2417</v>
      </c>
      <c r="Y252" s="924" t="s">
        <v>2385</v>
      </c>
      <c r="Z252" s="955"/>
      <c r="AA252" s="963"/>
      <c r="AN252" s="887">
        <v>11</v>
      </c>
      <c r="AO252" s="887">
        <v>415.2</v>
      </c>
      <c r="AP252" s="887">
        <v>0.307</v>
      </c>
      <c r="AQ252" s="887">
        <v>224.4</v>
      </c>
      <c r="AR252" s="887">
        <v>0</v>
      </c>
      <c r="AS252" s="887">
        <v>0</v>
      </c>
      <c r="AT252" s="887">
        <v>0</v>
      </c>
      <c r="AU252" s="887">
        <v>0</v>
      </c>
      <c r="AV252" s="887">
        <v>0</v>
      </c>
      <c r="AW252" s="887">
        <v>0</v>
      </c>
      <c r="AX252" s="887">
        <v>0</v>
      </c>
      <c r="AY252" s="887">
        <v>0</v>
      </c>
      <c r="AZ252" s="887">
        <v>0</v>
      </c>
      <c r="BA252" s="887">
        <v>0</v>
      </c>
      <c r="BB252" s="887">
        <v>0</v>
      </c>
      <c r="BC252" s="887">
        <v>0</v>
      </c>
    </row>
    <row r="253" spans="22:55">
      <c r="V253" s="964" t="s">
        <v>2454</v>
      </c>
      <c r="W253" s="967">
        <v>6.2</v>
      </c>
      <c r="X253" s="951" t="s">
        <v>2417</v>
      </c>
      <c r="Y253" s="924" t="s">
        <v>2385</v>
      </c>
      <c r="Z253" s="955"/>
      <c r="AA253" s="963"/>
      <c r="AN253" s="2">
        <v>12</v>
      </c>
      <c r="AO253" s="2">
        <f t="shared" ref="AO253:BC259" si="71">((($AN253-$AN$252)*(AO$260-AO$252))/($AN$260-$AN$252))+AO$252</f>
        <v>421.91249999999997</v>
      </c>
      <c r="AP253" s="2">
        <f t="shared" si="71"/>
        <v>0.3155</v>
      </c>
      <c r="AQ253" s="2">
        <f t="shared" si="71"/>
        <v>227.9</v>
      </c>
      <c r="AR253" s="2">
        <f t="shared" si="71"/>
        <v>6.7249999999999996</v>
      </c>
      <c r="AS253" s="2">
        <f t="shared" si="71"/>
        <v>8.5000000000000006E-3</v>
      </c>
      <c r="AT253" s="2">
        <f t="shared" si="71"/>
        <v>3.5</v>
      </c>
      <c r="AU253" s="2">
        <f t="shared" si="71"/>
        <v>0</v>
      </c>
      <c r="AV253" s="2">
        <f t="shared" si="71"/>
        <v>0</v>
      </c>
      <c r="AW253" s="2">
        <f t="shared" si="71"/>
        <v>0</v>
      </c>
      <c r="AX253" s="2">
        <f t="shared" si="71"/>
        <v>0</v>
      </c>
      <c r="AY253" s="2">
        <f t="shared" si="71"/>
        <v>0</v>
      </c>
      <c r="AZ253" s="2">
        <f t="shared" si="71"/>
        <v>0</v>
      </c>
      <c r="BA253" s="2">
        <f t="shared" si="71"/>
        <v>0</v>
      </c>
      <c r="BB253" s="2">
        <f t="shared" si="71"/>
        <v>0</v>
      </c>
      <c r="BC253" s="2">
        <f t="shared" si="71"/>
        <v>0</v>
      </c>
    </row>
    <row r="254" spans="22:55" ht="29">
      <c r="V254" s="924" t="s">
        <v>2455</v>
      </c>
      <c r="W254" s="968">
        <v>5073</v>
      </c>
      <c r="X254" s="951" t="s">
        <v>2456</v>
      </c>
      <c r="Y254" s="969" t="s">
        <v>2457</v>
      </c>
      <c r="Z254" s="955"/>
      <c r="AA254" s="963"/>
      <c r="AN254" s="2">
        <v>13</v>
      </c>
      <c r="AO254" s="2">
        <f t="shared" si="71"/>
        <v>428.625</v>
      </c>
      <c r="AP254" s="2">
        <f t="shared" si="71"/>
        <v>0.32400000000000001</v>
      </c>
      <c r="AQ254" s="2">
        <f t="shared" si="71"/>
        <v>231.4</v>
      </c>
      <c r="AR254" s="2">
        <f t="shared" si="71"/>
        <v>13.45</v>
      </c>
      <c r="AS254" s="2">
        <f t="shared" si="71"/>
        <v>1.7000000000000001E-2</v>
      </c>
      <c r="AT254" s="2">
        <f t="shared" si="71"/>
        <v>7</v>
      </c>
      <c r="AU254" s="2">
        <f t="shared" si="71"/>
        <v>0</v>
      </c>
      <c r="AV254" s="2">
        <f t="shared" si="71"/>
        <v>0</v>
      </c>
      <c r="AW254" s="2">
        <f t="shared" si="71"/>
        <v>0</v>
      </c>
      <c r="AX254" s="2">
        <f t="shared" si="71"/>
        <v>0</v>
      </c>
      <c r="AY254" s="2">
        <f t="shared" si="71"/>
        <v>0</v>
      </c>
      <c r="AZ254" s="2">
        <f t="shared" si="71"/>
        <v>0</v>
      </c>
      <c r="BA254" s="2">
        <f t="shared" si="71"/>
        <v>0</v>
      </c>
      <c r="BB254" s="2">
        <f t="shared" si="71"/>
        <v>0</v>
      </c>
      <c r="BC254" s="2">
        <f t="shared" si="71"/>
        <v>0</v>
      </c>
    </row>
    <row r="255" spans="22:55" ht="29">
      <c r="V255" s="924" t="s">
        <v>2458</v>
      </c>
      <c r="W255" s="968">
        <v>776</v>
      </c>
      <c r="X255" s="951" t="s">
        <v>2456</v>
      </c>
      <c r="Y255" s="969" t="s">
        <v>2459</v>
      </c>
      <c r="Z255" s="955"/>
      <c r="AA255" s="963"/>
      <c r="AN255" s="2">
        <v>14</v>
      </c>
      <c r="AO255" s="2">
        <f t="shared" si="71"/>
        <v>435.33749999999998</v>
      </c>
      <c r="AP255" s="2">
        <f t="shared" si="71"/>
        <v>0.33250000000000002</v>
      </c>
      <c r="AQ255" s="2">
        <f t="shared" si="71"/>
        <v>234.9</v>
      </c>
      <c r="AR255" s="2">
        <f t="shared" si="71"/>
        <v>20.174999999999997</v>
      </c>
      <c r="AS255" s="2">
        <f t="shared" si="71"/>
        <v>2.5500000000000002E-2</v>
      </c>
      <c r="AT255" s="2">
        <f t="shared" si="71"/>
        <v>10.5</v>
      </c>
      <c r="AU255" s="2">
        <f t="shared" si="71"/>
        <v>0</v>
      </c>
      <c r="AV255" s="2">
        <f t="shared" si="71"/>
        <v>0</v>
      </c>
      <c r="AW255" s="2">
        <f t="shared" si="71"/>
        <v>0</v>
      </c>
      <c r="AX255" s="2">
        <f t="shared" si="71"/>
        <v>0</v>
      </c>
      <c r="AY255" s="2">
        <f t="shared" si="71"/>
        <v>0</v>
      </c>
      <c r="AZ255" s="2">
        <f t="shared" si="71"/>
        <v>0</v>
      </c>
      <c r="BA255" s="2">
        <f t="shared" si="71"/>
        <v>0</v>
      </c>
      <c r="BB255" s="2">
        <f t="shared" si="71"/>
        <v>0</v>
      </c>
      <c r="BC255" s="2">
        <f t="shared" si="71"/>
        <v>0</v>
      </c>
    </row>
    <row r="256" spans="22:55" ht="29">
      <c r="V256" s="964" t="s">
        <v>2460</v>
      </c>
      <c r="W256" s="967" t="s">
        <v>2461</v>
      </c>
      <c r="X256" s="951" t="s">
        <v>2417</v>
      </c>
      <c r="Y256" s="924" t="s">
        <v>2385</v>
      </c>
      <c r="Z256" s="955"/>
      <c r="AA256" s="963"/>
      <c r="AN256" s="2">
        <v>15</v>
      </c>
      <c r="AO256" s="2">
        <f t="shared" si="71"/>
        <v>442.04999999999995</v>
      </c>
      <c r="AP256" s="2">
        <f t="shared" si="71"/>
        <v>0.34099999999999997</v>
      </c>
      <c r="AQ256" s="2">
        <f t="shared" si="71"/>
        <v>238.4</v>
      </c>
      <c r="AR256" s="2">
        <f t="shared" si="71"/>
        <v>26.9</v>
      </c>
      <c r="AS256" s="2">
        <f t="shared" si="71"/>
        <v>3.4000000000000002E-2</v>
      </c>
      <c r="AT256" s="2">
        <f t="shared" si="71"/>
        <v>14</v>
      </c>
      <c r="AU256" s="2">
        <f t="shared" si="71"/>
        <v>0</v>
      </c>
      <c r="AV256" s="2">
        <f t="shared" si="71"/>
        <v>0</v>
      </c>
      <c r="AW256" s="2">
        <f t="shared" si="71"/>
        <v>0</v>
      </c>
      <c r="AX256" s="2">
        <f t="shared" si="71"/>
        <v>0</v>
      </c>
      <c r="AY256" s="2">
        <f t="shared" si="71"/>
        <v>0</v>
      </c>
      <c r="AZ256" s="2">
        <f t="shared" si="71"/>
        <v>0</v>
      </c>
      <c r="BA256" s="2">
        <f t="shared" si="71"/>
        <v>0</v>
      </c>
      <c r="BB256" s="2">
        <f t="shared" si="71"/>
        <v>0</v>
      </c>
      <c r="BC256" s="2">
        <f t="shared" si="71"/>
        <v>0</v>
      </c>
    </row>
    <row r="257" spans="8:55" ht="29">
      <c r="V257" s="964" t="s">
        <v>2462</v>
      </c>
      <c r="W257" s="967" t="s">
        <v>2463</v>
      </c>
      <c r="X257" s="951" t="s">
        <v>2417</v>
      </c>
      <c r="Y257" s="924" t="s">
        <v>2385</v>
      </c>
      <c r="Z257" s="955"/>
      <c r="AA257" s="963"/>
      <c r="AN257" s="2">
        <v>16</v>
      </c>
      <c r="AO257" s="2">
        <f t="shared" si="71"/>
        <v>448.76249999999999</v>
      </c>
      <c r="AP257" s="2">
        <f t="shared" si="71"/>
        <v>0.34949999999999998</v>
      </c>
      <c r="AQ257" s="2">
        <f t="shared" si="71"/>
        <v>241.9</v>
      </c>
      <c r="AR257" s="2">
        <f t="shared" si="71"/>
        <v>33.625</v>
      </c>
      <c r="AS257" s="2">
        <f t="shared" si="71"/>
        <v>4.2500000000000003E-2</v>
      </c>
      <c r="AT257" s="2">
        <f t="shared" si="71"/>
        <v>17.5</v>
      </c>
      <c r="AU257" s="2">
        <f t="shared" si="71"/>
        <v>0</v>
      </c>
      <c r="AV257" s="2">
        <f t="shared" si="71"/>
        <v>0</v>
      </c>
      <c r="AW257" s="2">
        <f t="shared" si="71"/>
        <v>0</v>
      </c>
      <c r="AX257" s="2">
        <f t="shared" si="71"/>
        <v>0</v>
      </c>
      <c r="AY257" s="2">
        <f t="shared" si="71"/>
        <v>0</v>
      </c>
      <c r="AZ257" s="2">
        <f t="shared" si="71"/>
        <v>0</v>
      </c>
      <c r="BA257" s="2">
        <f t="shared" si="71"/>
        <v>0</v>
      </c>
      <c r="BB257" s="2">
        <f t="shared" si="71"/>
        <v>0</v>
      </c>
      <c r="BC257" s="2">
        <f t="shared" si="71"/>
        <v>0</v>
      </c>
    </row>
    <row r="258" spans="8:55">
      <c r="V258" s="964" t="s">
        <v>2464</v>
      </c>
      <c r="W258" s="951">
        <v>0.82199999999999995</v>
      </c>
      <c r="X258" s="951" t="s">
        <v>2465</v>
      </c>
      <c r="Y258" s="924" t="s">
        <v>2385</v>
      </c>
      <c r="Z258" s="955"/>
      <c r="AA258" s="963"/>
      <c r="AN258" s="2">
        <v>17</v>
      </c>
      <c r="AO258" s="2">
        <f t="shared" si="71"/>
        <v>455.47499999999997</v>
      </c>
      <c r="AP258" s="2">
        <f t="shared" si="71"/>
        <v>0.35799999999999998</v>
      </c>
      <c r="AQ258" s="2">
        <f t="shared" si="71"/>
        <v>245.4</v>
      </c>
      <c r="AR258" s="2">
        <f t="shared" si="71"/>
        <v>40.349999999999994</v>
      </c>
      <c r="AS258" s="2">
        <f t="shared" si="71"/>
        <v>5.1000000000000004E-2</v>
      </c>
      <c r="AT258" s="2">
        <f t="shared" si="71"/>
        <v>21</v>
      </c>
      <c r="AU258" s="2">
        <f t="shared" si="71"/>
        <v>0</v>
      </c>
      <c r="AV258" s="2">
        <f t="shared" si="71"/>
        <v>0</v>
      </c>
      <c r="AW258" s="2">
        <f t="shared" si="71"/>
        <v>0</v>
      </c>
      <c r="AX258" s="2">
        <f t="shared" si="71"/>
        <v>0</v>
      </c>
      <c r="AY258" s="2">
        <f t="shared" si="71"/>
        <v>0</v>
      </c>
      <c r="AZ258" s="2">
        <f t="shared" si="71"/>
        <v>0</v>
      </c>
      <c r="BA258" s="2">
        <f t="shared" si="71"/>
        <v>0</v>
      </c>
      <c r="BB258" s="2">
        <f t="shared" si="71"/>
        <v>0</v>
      </c>
      <c r="BC258" s="2">
        <f t="shared" si="71"/>
        <v>0</v>
      </c>
    </row>
    <row r="259" spans="8:55">
      <c r="AN259" s="2">
        <v>18</v>
      </c>
      <c r="AO259" s="2">
        <f t="shared" si="71"/>
        <v>462.1875</v>
      </c>
      <c r="AP259" s="2">
        <f t="shared" si="71"/>
        <v>0.36649999999999999</v>
      </c>
      <c r="AQ259" s="2">
        <f t="shared" si="71"/>
        <v>248.9</v>
      </c>
      <c r="AR259" s="2">
        <f t="shared" si="71"/>
        <v>47.074999999999996</v>
      </c>
      <c r="AS259" s="2">
        <f t="shared" si="71"/>
        <v>5.9500000000000004E-2</v>
      </c>
      <c r="AT259" s="2">
        <f t="shared" si="71"/>
        <v>24.5</v>
      </c>
      <c r="AU259" s="2">
        <f t="shared" si="71"/>
        <v>0</v>
      </c>
      <c r="AV259" s="2">
        <f t="shared" si="71"/>
        <v>0</v>
      </c>
      <c r="AW259" s="2">
        <f t="shared" si="71"/>
        <v>0</v>
      </c>
      <c r="AX259" s="2">
        <f t="shared" si="71"/>
        <v>0</v>
      </c>
      <c r="AY259" s="2">
        <f t="shared" si="71"/>
        <v>0</v>
      </c>
      <c r="AZ259" s="2">
        <f t="shared" si="71"/>
        <v>0</v>
      </c>
      <c r="BA259" s="2">
        <f t="shared" si="71"/>
        <v>0</v>
      </c>
      <c r="BB259" s="2">
        <f t="shared" si="71"/>
        <v>0</v>
      </c>
      <c r="BC259" s="2">
        <f t="shared" si="71"/>
        <v>0</v>
      </c>
    </row>
    <row r="260" spans="8:55">
      <c r="AN260" s="887">
        <v>19</v>
      </c>
      <c r="AO260" s="887">
        <v>468.9</v>
      </c>
      <c r="AP260" s="887">
        <v>0.375</v>
      </c>
      <c r="AQ260" s="887">
        <v>252.4</v>
      </c>
      <c r="AR260" s="887">
        <v>53.8</v>
      </c>
      <c r="AS260" s="887">
        <v>6.8000000000000005E-2</v>
      </c>
      <c r="AT260" s="887">
        <v>28</v>
      </c>
      <c r="AU260" s="887">
        <v>0</v>
      </c>
      <c r="AV260" s="887">
        <v>0</v>
      </c>
      <c r="AW260" s="887">
        <v>0</v>
      </c>
      <c r="AX260" s="887">
        <v>0</v>
      </c>
      <c r="AY260" s="887">
        <v>0</v>
      </c>
      <c r="AZ260" s="887">
        <v>0</v>
      </c>
      <c r="BA260" s="887">
        <v>0</v>
      </c>
      <c r="BB260" s="887">
        <v>0</v>
      </c>
      <c r="BC260" s="887">
        <v>0</v>
      </c>
    </row>
    <row r="261" spans="8:55">
      <c r="R261" s="1260" t="s">
        <v>783</v>
      </c>
      <c r="S261" s="1260"/>
      <c r="T261" s="1260"/>
      <c r="U261" s="1260"/>
      <c r="V261" s="1260"/>
      <c r="W261" s="1260"/>
      <c r="X261" s="1260"/>
      <c r="Y261" s="1260"/>
      <c r="Z261" s="1260"/>
      <c r="AA261" s="1260"/>
      <c r="AB261" s="1260"/>
      <c r="AC261" s="1260"/>
      <c r="AD261" s="1260"/>
      <c r="AE261" s="1260"/>
      <c r="AF261" s="1260"/>
      <c r="AG261" s="1261"/>
      <c r="AN261" s="2">
        <v>20</v>
      </c>
      <c r="AO261" s="891">
        <f t="shared" ref="AO261:BC270" si="72">((($AN261-$AN$260)*(AO$271-AO$260))/($AN$271-$AN$260))+AO$260</f>
        <v>471.5272727272727</v>
      </c>
      <c r="AP261" s="891">
        <f t="shared" si="72"/>
        <v>0.37654545454545457</v>
      </c>
      <c r="AQ261" s="891">
        <f t="shared" si="72"/>
        <v>253.87272727272727</v>
      </c>
      <c r="AR261" s="891">
        <f t="shared" si="72"/>
        <v>56.418181818181814</v>
      </c>
      <c r="AS261" s="891">
        <f t="shared" si="72"/>
        <v>6.9545454545454549E-2</v>
      </c>
      <c r="AT261" s="891">
        <f t="shared" si="72"/>
        <v>29.472727272727273</v>
      </c>
      <c r="AU261" s="891">
        <f t="shared" si="72"/>
        <v>2.6181818181818182</v>
      </c>
      <c r="AV261" s="891">
        <f t="shared" si="72"/>
        <v>1.5454545454545456E-3</v>
      </c>
      <c r="AW261" s="891">
        <f t="shared" si="72"/>
        <v>1.4727272727272727</v>
      </c>
      <c r="AX261" s="891">
        <f t="shared" si="72"/>
        <v>0</v>
      </c>
      <c r="AY261" s="891">
        <f t="shared" si="72"/>
        <v>0</v>
      </c>
      <c r="AZ261" s="891">
        <f t="shared" si="72"/>
        <v>0</v>
      </c>
      <c r="BA261" s="891">
        <f t="shared" si="72"/>
        <v>0</v>
      </c>
      <c r="BB261" s="891">
        <f t="shared" si="72"/>
        <v>0</v>
      </c>
      <c r="BC261" s="891">
        <f t="shared" si="72"/>
        <v>0</v>
      </c>
    </row>
    <row r="262" spans="8:55">
      <c r="AN262" s="2">
        <v>21</v>
      </c>
      <c r="AO262" s="891">
        <f t="shared" si="72"/>
        <v>474.15454545454543</v>
      </c>
      <c r="AP262" s="891">
        <f t="shared" si="72"/>
        <v>0.37809090909090909</v>
      </c>
      <c r="AQ262" s="891">
        <f t="shared" si="72"/>
        <v>255.34545454545454</v>
      </c>
      <c r="AR262" s="891">
        <f t="shared" si="72"/>
        <v>59.036363636363632</v>
      </c>
      <c r="AS262" s="891">
        <f t="shared" si="72"/>
        <v>7.1090909090909093E-2</v>
      </c>
      <c r="AT262" s="891">
        <f t="shared" si="72"/>
        <v>30.945454545454545</v>
      </c>
      <c r="AU262" s="891">
        <f t="shared" si="72"/>
        <v>5.2363636363636363</v>
      </c>
      <c r="AV262" s="891">
        <f t="shared" si="72"/>
        <v>3.0909090909090912E-3</v>
      </c>
      <c r="AW262" s="891">
        <f t="shared" si="72"/>
        <v>2.9454545454545453</v>
      </c>
      <c r="AX262" s="891">
        <f t="shared" si="72"/>
        <v>0</v>
      </c>
      <c r="AY262" s="891">
        <f t="shared" si="72"/>
        <v>0</v>
      </c>
      <c r="AZ262" s="891">
        <f t="shared" si="72"/>
        <v>0</v>
      </c>
      <c r="BA262" s="891">
        <f t="shared" si="72"/>
        <v>0</v>
      </c>
      <c r="BB262" s="891">
        <f t="shared" si="72"/>
        <v>0</v>
      </c>
      <c r="BC262" s="891">
        <f t="shared" si="72"/>
        <v>0</v>
      </c>
    </row>
    <row r="263" spans="8:55">
      <c r="R263" s="413" t="s">
        <v>1180</v>
      </c>
      <c r="S263" s="414" t="s">
        <v>1181</v>
      </c>
      <c r="T263" s="414" t="s">
        <v>1182</v>
      </c>
      <c r="V263" s="237" t="s">
        <v>433</v>
      </c>
      <c r="W263" s="237" t="s">
        <v>2140</v>
      </c>
      <c r="AN263" s="2">
        <v>22</v>
      </c>
      <c r="AO263" s="891">
        <f t="shared" si="72"/>
        <v>476.78181818181815</v>
      </c>
      <c r="AP263" s="891">
        <f t="shared" si="72"/>
        <v>0.37963636363636366</v>
      </c>
      <c r="AQ263" s="891">
        <f t="shared" si="72"/>
        <v>256.81818181818181</v>
      </c>
      <c r="AR263" s="891">
        <f t="shared" si="72"/>
        <v>61.654545454545449</v>
      </c>
      <c r="AS263" s="891">
        <f t="shared" si="72"/>
        <v>7.2636363636363638E-2</v>
      </c>
      <c r="AT263" s="891">
        <f t="shared" si="72"/>
        <v>32.418181818181822</v>
      </c>
      <c r="AU263" s="891">
        <f t="shared" si="72"/>
        <v>7.8545454545454554</v>
      </c>
      <c r="AV263" s="891">
        <f t="shared" si="72"/>
        <v>4.6363636363636364E-3</v>
      </c>
      <c r="AW263" s="891">
        <f t="shared" si="72"/>
        <v>4.418181818181818</v>
      </c>
      <c r="AX263" s="891">
        <f t="shared" si="72"/>
        <v>0</v>
      </c>
      <c r="AY263" s="891">
        <f t="shared" si="72"/>
        <v>0</v>
      </c>
      <c r="AZ263" s="891">
        <f t="shared" si="72"/>
        <v>0</v>
      </c>
      <c r="BA263" s="891">
        <f t="shared" si="72"/>
        <v>0</v>
      </c>
      <c r="BB263" s="891">
        <f t="shared" si="72"/>
        <v>0</v>
      </c>
      <c r="BC263" s="891">
        <f t="shared" si="72"/>
        <v>0</v>
      </c>
    </row>
    <row r="264" spans="8:55">
      <c r="R264" s="860">
        <v>10.999999000000001</v>
      </c>
      <c r="S264" s="861">
        <v>0</v>
      </c>
      <c r="T264" s="861">
        <v>0</v>
      </c>
      <c r="V264" s="96" t="s">
        <v>841</v>
      </c>
      <c r="W264" s="96">
        <v>7.0000000000000007E-2</v>
      </c>
      <c r="AN264" s="2">
        <v>23</v>
      </c>
      <c r="AO264" s="891">
        <f t="shared" si="72"/>
        <v>479.40909090909088</v>
      </c>
      <c r="AP264" s="891">
        <f t="shared" si="72"/>
        <v>0.38118181818181818</v>
      </c>
      <c r="AQ264" s="891">
        <f t="shared" si="72"/>
        <v>258.29090909090911</v>
      </c>
      <c r="AR264" s="891">
        <f t="shared" si="72"/>
        <v>64.272727272727266</v>
      </c>
      <c r="AS264" s="891">
        <f t="shared" si="72"/>
        <v>7.4181818181818182E-2</v>
      </c>
      <c r="AT264" s="891">
        <f t="shared" si="72"/>
        <v>33.890909090909091</v>
      </c>
      <c r="AU264" s="891">
        <f t="shared" si="72"/>
        <v>10.472727272727273</v>
      </c>
      <c r="AV264" s="891">
        <f t="shared" si="72"/>
        <v>6.1818181818181824E-3</v>
      </c>
      <c r="AW264" s="891">
        <f t="shared" si="72"/>
        <v>5.8909090909090907</v>
      </c>
      <c r="AX264" s="891">
        <f t="shared" si="72"/>
        <v>0</v>
      </c>
      <c r="AY264" s="891">
        <f t="shared" si="72"/>
        <v>0</v>
      </c>
      <c r="AZ264" s="891">
        <f t="shared" si="72"/>
        <v>0</v>
      </c>
      <c r="BA264" s="891">
        <f t="shared" si="72"/>
        <v>0</v>
      </c>
      <c r="BB264" s="891">
        <f t="shared" si="72"/>
        <v>0</v>
      </c>
      <c r="BC264" s="891">
        <f t="shared" si="72"/>
        <v>0</v>
      </c>
    </row>
    <row r="265" spans="8:55">
      <c r="R265" s="860"/>
      <c r="S265" s="861"/>
      <c r="T265" s="861"/>
      <c r="V265" s="97" t="s">
        <v>840</v>
      </c>
      <c r="W265" s="97">
        <v>7.0000000000000007E-2</v>
      </c>
      <c r="AN265" s="2">
        <v>24</v>
      </c>
      <c r="AO265" s="891">
        <f t="shared" si="72"/>
        <v>482.0363636363636</v>
      </c>
      <c r="AP265" s="891">
        <f t="shared" si="72"/>
        <v>0.38272727272727275</v>
      </c>
      <c r="AQ265" s="891">
        <f t="shared" si="72"/>
        <v>259.76363636363635</v>
      </c>
      <c r="AR265" s="891">
        <f t="shared" si="72"/>
        <v>66.890909090909091</v>
      </c>
      <c r="AS265" s="891">
        <f t="shared" si="72"/>
        <v>7.5727272727272726E-2</v>
      </c>
      <c r="AT265" s="891">
        <f t="shared" si="72"/>
        <v>35.363636363636367</v>
      </c>
      <c r="AU265" s="891">
        <f t="shared" si="72"/>
        <v>13.090909090909092</v>
      </c>
      <c r="AV265" s="891">
        <f t="shared" si="72"/>
        <v>7.7272727272727276E-3</v>
      </c>
      <c r="AW265" s="891">
        <f t="shared" si="72"/>
        <v>7.3636363636363633</v>
      </c>
      <c r="AX265" s="891">
        <f t="shared" si="72"/>
        <v>0</v>
      </c>
      <c r="AY265" s="891">
        <f t="shared" si="72"/>
        <v>0</v>
      </c>
      <c r="AZ265" s="891">
        <f t="shared" si="72"/>
        <v>0</v>
      </c>
      <c r="BA265" s="891">
        <f t="shared" si="72"/>
        <v>0</v>
      </c>
      <c r="BB265" s="891">
        <f t="shared" si="72"/>
        <v>0</v>
      </c>
      <c r="BC265" s="891">
        <f t="shared" si="72"/>
        <v>0</v>
      </c>
    </row>
    <row r="266" spans="8:55">
      <c r="R266" s="860"/>
      <c r="S266" s="861"/>
      <c r="T266" s="861"/>
      <c r="V266" s="97" t="s">
        <v>839</v>
      </c>
      <c r="W266" s="97">
        <v>0.25</v>
      </c>
      <c r="AN266" s="2">
        <v>25</v>
      </c>
      <c r="AO266" s="891">
        <f t="shared" si="72"/>
        <v>484.66363636363639</v>
      </c>
      <c r="AP266" s="891">
        <f t="shared" si="72"/>
        <v>0.38427272727272727</v>
      </c>
      <c r="AQ266" s="891">
        <f t="shared" si="72"/>
        <v>261.23636363636365</v>
      </c>
      <c r="AR266" s="891">
        <f t="shared" si="72"/>
        <v>69.509090909090901</v>
      </c>
      <c r="AS266" s="891">
        <f t="shared" si="72"/>
        <v>7.7272727272727271E-2</v>
      </c>
      <c r="AT266" s="891">
        <f t="shared" si="72"/>
        <v>36.836363636363636</v>
      </c>
      <c r="AU266" s="891">
        <f t="shared" si="72"/>
        <v>15.709090909090911</v>
      </c>
      <c r="AV266" s="891">
        <f t="shared" si="72"/>
        <v>9.2727272727272728E-3</v>
      </c>
      <c r="AW266" s="891">
        <f t="shared" si="72"/>
        <v>8.836363636363636</v>
      </c>
      <c r="AX266" s="891">
        <f t="shared" si="72"/>
        <v>0</v>
      </c>
      <c r="AY266" s="891">
        <f t="shared" si="72"/>
        <v>0</v>
      </c>
      <c r="AZ266" s="891">
        <f t="shared" si="72"/>
        <v>0</v>
      </c>
      <c r="BA266" s="891">
        <f t="shared" si="72"/>
        <v>0</v>
      </c>
      <c r="BB266" s="891">
        <f t="shared" si="72"/>
        <v>0</v>
      </c>
      <c r="BC266" s="891">
        <f t="shared" si="72"/>
        <v>0</v>
      </c>
    </row>
    <row r="267" spans="8:55" s="892" customFormat="1">
      <c r="H267" s="804"/>
      <c r="I267"/>
      <c r="J267"/>
      <c r="K267"/>
      <c r="L267"/>
      <c r="M267"/>
      <c r="N267"/>
      <c r="P267" s="804"/>
      <c r="R267" s="860">
        <v>12.999999000000001</v>
      </c>
      <c r="S267" s="861">
        <v>11</v>
      </c>
      <c r="T267" s="861">
        <v>11</v>
      </c>
      <c r="U267"/>
      <c r="V267" s="98" t="s">
        <v>843</v>
      </c>
      <c r="W267" s="98">
        <v>7.0000000000000007E-2</v>
      </c>
      <c r="X267"/>
      <c r="Y267"/>
      <c r="Z267"/>
      <c r="AA267"/>
      <c r="AB267"/>
      <c r="AC267"/>
      <c r="AD267"/>
      <c r="AE267"/>
      <c r="AF267"/>
      <c r="AG267"/>
      <c r="AH267"/>
      <c r="AJ267"/>
      <c r="AK267" s="804"/>
      <c r="AL267"/>
      <c r="AN267" s="2">
        <v>26</v>
      </c>
      <c r="AO267" s="891">
        <f t="shared" si="72"/>
        <v>487.29090909090911</v>
      </c>
      <c r="AP267" s="891">
        <f t="shared" si="72"/>
        <v>0.38581818181818184</v>
      </c>
      <c r="AQ267" s="891">
        <f t="shared" si="72"/>
        <v>262.70909090909095</v>
      </c>
      <c r="AR267" s="891">
        <f t="shared" si="72"/>
        <v>72.127272727272725</v>
      </c>
      <c r="AS267" s="891">
        <f t="shared" si="72"/>
        <v>7.8818181818181829E-2</v>
      </c>
      <c r="AT267" s="891">
        <f t="shared" si="72"/>
        <v>38.309090909090912</v>
      </c>
      <c r="AU267" s="891">
        <f t="shared" si="72"/>
        <v>18.327272727272728</v>
      </c>
      <c r="AV267" s="891">
        <f t="shared" si="72"/>
        <v>1.0818181818181819E-2</v>
      </c>
      <c r="AW267" s="891">
        <f t="shared" si="72"/>
        <v>10.309090909090909</v>
      </c>
      <c r="AX267" s="891">
        <f t="shared" si="72"/>
        <v>0</v>
      </c>
      <c r="AY267" s="891">
        <f t="shared" si="72"/>
        <v>0</v>
      </c>
      <c r="AZ267" s="891">
        <f t="shared" si="72"/>
        <v>0</v>
      </c>
      <c r="BA267" s="891">
        <f t="shared" si="72"/>
        <v>0</v>
      </c>
      <c r="BB267" s="891">
        <f t="shared" si="72"/>
        <v>0</v>
      </c>
      <c r="BC267" s="891">
        <f t="shared" si="72"/>
        <v>0</v>
      </c>
    </row>
    <row r="268" spans="8:55" ht="14.5" customHeight="1">
      <c r="R268" s="805">
        <v>16.999998999999999</v>
      </c>
      <c r="S268" s="861">
        <v>13</v>
      </c>
      <c r="T268" s="861">
        <v>13</v>
      </c>
      <c r="AN268" s="2">
        <v>27</v>
      </c>
      <c r="AO268" s="891">
        <f t="shared" si="72"/>
        <v>489.91818181818184</v>
      </c>
      <c r="AP268" s="891">
        <f t="shared" si="72"/>
        <v>0.38736363636363635</v>
      </c>
      <c r="AQ268" s="891">
        <f t="shared" si="72"/>
        <v>264.18181818181819</v>
      </c>
      <c r="AR268" s="891">
        <f t="shared" si="72"/>
        <v>74.745454545454535</v>
      </c>
      <c r="AS268" s="891">
        <f t="shared" si="72"/>
        <v>8.0363636363636373E-2</v>
      </c>
      <c r="AT268" s="891">
        <f t="shared" si="72"/>
        <v>39.781818181818181</v>
      </c>
      <c r="AU268" s="891">
        <f t="shared" si="72"/>
        <v>20.945454545454545</v>
      </c>
      <c r="AV268" s="891">
        <f t="shared" si="72"/>
        <v>1.2363636363636365E-2</v>
      </c>
      <c r="AW268" s="891">
        <f t="shared" si="72"/>
        <v>11.781818181818181</v>
      </c>
      <c r="AX268" s="891">
        <f t="shared" si="72"/>
        <v>0</v>
      </c>
      <c r="AY268" s="891">
        <f t="shared" si="72"/>
        <v>0</v>
      </c>
      <c r="AZ268" s="891">
        <f t="shared" si="72"/>
        <v>0</v>
      </c>
      <c r="BA268" s="891">
        <f t="shared" si="72"/>
        <v>0</v>
      </c>
      <c r="BB268" s="891">
        <f t="shared" si="72"/>
        <v>0</v>
      </c>
      <c r="BC268" s="891">
        <f t="shared" si="72"/>
        <v>0</v>
      </c>
    </row>
    <row r="269" spans="8:55" ht="14.5" customHeight="1">
      <c r="R269" s="805">
        <v>18.999998999999999</v>
      </c>
      <c r="S269" s="93">
        <v>17</v>
      </c>
      <c r="T269" s="861">
        <v>17</v>
      </c>
      <c r="AH269" s="892"/>
      <c r="AN269" s="2">
        <v>28</v>
      </c>
      <c r="AO269" s="891">
        <f t="shared" si="72"/>
        <v>492.54545454545456</v>
      </c>
      <c r="AP269" s="891">
        <f t="shared" si="72"/>
        <v>0.38890909090909093</v>
      </c>
      <c r="AQ269" s="891">
        <f t="shared" si="72"/>
        <v>265.65454545454548</v>
      </c>
      <c r="AR269" s="891">
        <f t="shared" si="72"/>
        <v>77.36363636363636</v>
      </c>
      <c r="AS269" s="891">
        <f t="shared" si="72"/>
        <v>8.1909090909090917E-2</v>
      </c>
      <c r="AT269" s="891">
        <f t="shared" si="72"/>
        <v>41.254545454545458</v>
      </c>
      <c r="AU269" s="891">
        <f t="shared" si="72"/>
        <v>23.563636363636363</v>
      </c>
      <c r="AV269" s="891">
        <f t="shared" si="72"/>
        <v>1.3909090909090911E-2</v>
      </c>
      <c r="AW269" s="891">
        <f t="shared" si="72"/>
        <v>13.254545454545452</v>
      </c>
      <c r="AX269" s="891">
        <f t="shared" si="72"/>
        <v>0</v>
      </c>
      <c r="AY269" s="891">
        <f t="shared" si="72"/>
        <v>0</v>
      </c>
      <c r="AZ269" s="891">
        <f t="shared" si="72"/>
        <v>0</v>
      </c>
      <c r="BA269" s="891">
        <f t="shared" si="72"/>
        <v>0</v>
      </c>
      <c r="BB269" s="891">
        <f t="shared" si="72"/>
        <v>0</v>
      </c>
      <c r="BC269" s="891">
        <f t="shared" si="72"/>
        <v>0</v>
      </c>
    </row>
    <row r="270" spans="8:55" ht="14.5" customHeight="1">
      <c r="R270" s="805">
        <v>20.999998999999999</v>
      </c>
      <c r="S270" s="93">
        <v>19</v>
      </c>
      <c r="T270" s="861">
        <v>19</v>
      </c>
      <c r="V270" s="926" t="s">
        <v>2383</v>
      </c>
      <c r="W270" s="926" t="s">
        <v>2384</v>
      </c>
      <c r="X270" s="954"/>
      <c r="Y270" s="955"/>
      <c r="Z270" s="954"/>
      <c r="AA270" s="955"/>
      <c r="AN270" s="2">
        <v>29</v>
      </c>
      <c r="AO270" s="891">
        <f t="shared" si="72"/>
        <v>495.17272727272729</v>
      </c>
      <c r="AP270" s="891">
        <f t="shared" si="72"/>
        <v>0.39045454545454544</v>
      </c>
      <c r="AQ270" s="891">
        <f t="shared" si="72"/>
        <v>267.12727272727273</v>
      </c>
      <c r="AR270" s="891">
        <f t="shared" si="72"/>
        <v>79.981818181818184</v>
      </c>
      <c r="AS270" s="891">
        <f t="shared" si="72"/>
        <v>8.3454545454545462E-2</v>
      </c>
      <c r="AT270" s="891">
        <f t="shared" si="72"/>
        <v>42.727272727272734</v>
      </c>
      <c r="AU270" s="891">
        <f t="shared" si="72"/>
        <v>26.181818181818183</v>
      </c>
      <c r="AV270" s="891">
        <f t="shared" si="72"/>
        <v>1.5454545454545455E-2</v>
      </c>
      <c r="AW270" s="891">
        <f t="shared" si="72"/>
        <v>14.727272727272727</v>
      </c>
      <c r="AX270" s="891">
        <f t="shared" si="72"/>
        <v>0</v>
      </c>
      <c r="AY270" s="891">
        <f t="shared" si="72"/>
        <v>0</v>
      </c>
      <c r="AZ270" s="891">
        <f t="shared" si="72"/>
        <v>0</v>
      </c>
      <c r="BA270" s="891">
        <f t="shared" si="72"/>
        <v>0</v>
      </c>
      <c r="BB270" s="891">
        <f t="shared" si="72"/>
        <v>0</v>
      </c>
      <c r="BC270" s="891">
        <f t="shared" si="72"/>
        <v>0</v>
      </c>
    </row>
    <row r="271" spans="8:55" ht="14.5" customHeight="1">
      <c r="R271" s="805">
        <v>24.999998999999999</v>
      </c>
      <c r="S271" s="93">
        <v>21</v>
      </c>
      <c r="T271" s="861">
        <v>21</v>
      </c>
      <c r="V271" s="929">
        <v>30</v>
      </c>
      <c r="W271" s="929" t="s">
        <v>2385</v>
      </c>
      <c r="X271" s="954"/>
      <c r="Y271" s="955"/>
      <c r="Z271" s="954"/>
      <c r="AA271" s="955"/>
      <c r="AN271" s="887">
        <v>30</v>
      </c>
      <c r="AO271" s="887">
        <v>497.8</v>
      </c>
      <c r="AP271" s="887">
        <v>0.39200000000000002</v>
      </c>
      <c r="AQ271" s="887">
        <v>268.60000000000002</v>
      </c>
      <c r="AR271" s="887">
        <v>82.6</v>
      </c>
      <c r="AS271" s="887">
        <v>8.5000000000000006E-2</v>
      </c>
      <c r="AT271" s="887">
        <v>44.2</v>
      </c>
      <c r="AU271" s="887">
        <v>28.8</v>
      </c>
      <c r="AV271" s="887">
        <v>1.7000000000000001E-2</v>
      </c>
      <c r="AW271" s="887">
        <v>16.2</v>
      </c>
      <c r="AX271" s="887">
        <v>0</v>
      </c>
      <c r="AY271" s="887">
        <v>0</v>
      </c>
      <c r="AZ271" s="887">
        <v>0</v>
      </c>
      <c r="BA271" s="887">
        <v>0</v>
      </c>
      <c r="BB271" s="887">
        <v>0</v>
      </c>
      <c r="BC271" s="887">
        <v>0</v>
      </c>
    </row>
    <row r="272" spans="8:55">
      <c r="R272" s="805">
        <v>26.999998999999999</v>
      </c>
      <c r="S272" s="93">
        <v>25</v>
      </c>
      <c r="T272" s="861">
        <v>25</v>
      </c>
      <c r="V272" s="954"/>
      <c r="W272" s="956"/>
      <c r="X272" s="954"/>
      <c r="Y272" s="955"/>
      <c r="Z272" s="954"/>
      <c r="AA272" s="955"/>
      <c r="AN272" s="2">
        <v>31</v>
      </c>
      <c r="AO272" s="2">
        <f t="shared" ref="AO272:BC278" si="73">((($AN272-$AN$271)*(AO$279-AO$271))/($AN$279-$AN$271))+AO$271</f>
        <v>499.125</v>
      </c>
      <c r="AP272" s="2">
        <f t="shared" si="73"/>
        <v>0.39424999999999999</v>
      </c>
      <c r="AQ272" s="2">
        <f t="shared" si="73"/>
        <v>269.41250000000002</v>
      </c>
      <c r="AR272" s="2">
        <f t="shared" si="73"/>
        <v>83.924999999999997</v>
      </c>
      <c r="AS272" s="2">
        <f t="shared" si="73"/>
        <v>8.7125000000000008E-2</v>
      </c>
      <c r="AT272" s="2">
        <f t="shared" si="73"/>
        <v>45.012500000000003</v>
      </c>
      <c r="AU272" s="2">
        <f t="shared" si="73"/>
        <v>30.125</v>
      </c>
      <c r="AV272" s="2">
        <f t="shared" si="73"/>
        <v>1.9125000000000003E-2</v>
      </c>
      <c r="AW272" s="2">
        <f t="shared" si="73"/>
        <v>17.012499999999999</v>
      </c>
      <c r="AX272" s="2">
        <f t="shared" si="73"/>
        <v>1.325</v>
      </c>
      <c r="AY272" s="2">
        <f t="shared" si="73"/>
        <v>2.1250000000000002E-3</v>
      </c>
      <c r="AZ272" s="2">
        <f t="shared" si="73"/>
        <v>0.8125</v>
      </c>
      <c r="BA272" s="2">
        <f t="shared" si="73"/>
        <v>0</v>
      </c>
      <c r="BB272" s="2">
        <f t="shared" si="73"/>
        <v>0</v>
      </c>
      <c r="BC272" s="2">
        <f t="shared" si="73"/>
        <v>0</v>
      </c>
    </row>
    <row r="273" spans="18:55" ht="14.5" customHeight="1">
      <c r="R273" s="805">
        <v>1000000</v>
      </c>
      <c r="S273" s="93">
        <v>27</v>
      </c>
      <c r="T273" s="861">
        <v>27</v>
      </c>
      <c r="V273" s="926" t="s">
        <v>2386</v>
      </c>
      <c r="W273" s="933" t="s">
        <v>2387</v>
      </c>
      <c r="X273" s="954"/>
      <c r="Y273" s="954"/>
      <c r="Z273" s="954"/>
      <c r="AA273" s="955"/>
      <c r="AN273" s="2">
        <v>32</v>
      </c>
      <c r="AO273" s="2">
        <f t="shared" si="73"/>
        <v>500.45</v>
      </c>
      <c r="AP273" s="2">
        <f t="shared" si="73"/>
        <v>0.39650000000000002</v>
      </c>
      <c r="AQ273" s="2">
        <f t="shared" si="73"/>
        <v>270.22500000000002</v>
      </c>
      <c r="AR273" s="2">
        <f t="shared" si="73"/>
        <v>85.25</v>
      </c>
      <c r="AS273" s="2">
        <f t="shared" si="73"/>
        <v>8.9249999999999996E-2</v>
      </c>
      <c r="AT273" s="2">
        <f t="shared" si="73"/>
        <v>45.825000000000003</v>
      </c>
      <c r="AU273" s="2">
        <f t="shared" si="73"/>
        <v>31.45</v>
      </c>
      <c r="AV273" s="2">
        <f t="shared" si="73"/>
        <v>2.1250000000000002E-2</v>
      </c>
      <c r="AW273" s="2">
        <f t="shared" si="73"/>
        <v>17.824999999999999</v>
      </c>
      <c r="AX273" s="2">
        <f t="shared" si="73"/>
        <v>2.65</v>
      </c>
      <c r="AY273" s="2">
        <f t="shared" si="73"/>
        <v>4.2500000000000003E-3</v>
      </c>
      <c r="AZ273" s="2">
        <f t="shared" si="73"/>
        <v>1.625</v>
      </c>
      <c r="BA273" s="2">
        <f t="shared" si="73"/>
        <v>0</v>
      </c>
      <c r="BB273" s="2">
        <f t="shared" si="73"/>
        <v>0</v>
      </c>
      <c r="BC273" s="2">
        <f t="shared" si="73"/>
        <v>0</v>
      </c>
    </row>
    <row r="274" spans="18:55" ht="16.5" customHeight="1">
      <c r="R274" s="805">
        <v>37.999999000000003</v>
      </c>
      <c r="S274">
        <v>30</v>
      </c>
      <c r="T274" s="93">
        <v>30</v>
      </c>
      <c r="V274" s="954"/>
      <c r="W274" s="956"/>
      <c r="X274" s="954"/>
      <c r="Y274" s="954"/>
      <c r="Z274" s="954"/>
      <c r="AA274" s="955"/>
      <c r="AN274" s="2">
        <v>33</v>
      </c>
      <c r="AO274" s="2">
        <f t="shared" si="73"/>
        <v>501.77499999999998</v>
      </c>
      <c r="AP274" s="2">
        <f t="shared" si="73"/>
        <v>0.39874999999999999</v>
      </c>
      <c r="AQ274" s="2">
        <f t="shared" si="73"/>
        <v>271.03750000000002</v>
      </c>
      <c r="AR274" s="2">
        <f t="shared" si="73"/>
        <v>86.575000000000003</v>
      </c>
      <c r="AS274" s="2">
        <f t="shared" si="73"/>
        <v>9.1374999999999998E-2</v>
      </c>
      <c r="AT274" s="2">
        <f t="shared" si="73"/>
        <v>46.637500000000003</v>
      </c>
      <c r="AU274" s="2">
        <f t="shared" si="73"/>
        <v>32.774999999999999</v>
      </c>
      <c r="AV274" s="2">
        <f t="shared" si="73"/>
        <v>2.3375E-2</v>
      </c>
      <c r="AW274" s="2">
        <f t="shared" si="73"/>
        <v>18.637499999999999</v>
      </c>
      <c r="AX274" s="2">
        <f t="shared" si="73"/>
        <v>3.9749999999999996</v>
      </c>
      <c r="AY274" s="2">
        <f t="shared" si="73"/>
        <v>6.3750000000000005E-3</v>
      </c>
      <c r="AZ274" s="2">
        <f t="shared" si="73"/>
        <v>2.4375</v>
      </c>
      <c r="BA274" s="2">
        <f t="shared" si="73"/>
        <v>0</v>
      </c>
      <c r="BB274" s="2">
        <f t="shared" si="73"/>
        <v>0</v>
      </c>
      <c r="BC274" s="2">
        <f t="shared" si="73"/>
        <v>0</v>
      </c>
    </row>
    <row r="275" spans="18:55">
      <c r="R275" s="805">
        <v>48.999999000000003</v>
      </c>
      <c r="S275">
        <v>38</v>
      </c>
      <c r="T275" s="93">
        <v>38</v>
      </c>
      <c r="V275" s="1265" t="s">
        <v>2430</v>
      </c>
      <c r="W275" s="1266"/>
      <c r="X275" s="1266"/>
      <c r="Y275" s="1266"/>
      <c r="Z275" s="1266"/>
      <c r="AA275" s="1266"/>
      <c r="AN275" s="2">
        <v>34</v>
      </c>
      <c r="AO275" s="2">
        <f t="shared" si="73"/>
        <v>503.1</v>
      </c>
      <c r="AP275" s="2">
        <f t="shared" si="73"/>
        <v>0.40100000000000002</v>
      </c>
      <c r="AQ275" s="2">
        <f t="shared" si="73"/>
        <v>271.85000000000002</v>
      </c>
      <c r="AR275" s="2">
        <f t="shared" si="73"/>
        <v>87.9</v>
      </c>
      <c r="AS275" s="2">
        <f t="shared" si="73"/>
        <v>9.35E-2</v>
      </c>
      <c r="AT275" s="2">
        <f t="shared" si="73"/>
        <v>47.45</v>
      </c>
      <c r="AU275" s="2">
        <f t="shared" si="73"/>
        <v>34.1</v>
      </c>
      <c r="AV275" s="2">
        <f t="shared" si="73"/>
        <v>2.5500000000000002E-2</v>
      </c>
      <c r="AW275" s="2">
        <f t="shared" si="73"/>
        <v>19.45</v>
      </c>
      <c r="AX275" s="2">
        <f t="shared" si="73"/>
        <v>5.3</v>
      </c>
      <c r="AY275" s="2">
        <f t="shared" si="73"/>
        <v>8.5000000000000006E-3</v>
      </c>
      <c r="AZ275" s="2">
        <f t="shared" si="73"/>
        <v>3.25</v>
      </c>
      <c r="BA275" s="2">
        <f t="shared" si="73"/>
        <v>0</v>
      </c>
      <c r="BB275" s="2">
        <f t="shared" si="73"/>
        <v>0</v>
      </c>
      <c r="BC275" s="2">
        <f t="shared" si="73"/>
        <v>0</v>
      </c>
    </row>
    <row r="276" spans="18:55">
      <c r="R276" s="805">
        <v>59.999999000000003</v>
      </c>
      <c r="S276">
        <v>49</v>
      </c>
      <c r="T276" s="93">
        <v>49</v>
      </c>
      <c r="V276" s="958" t="s">
        <v>433</v>
      </c>
      <c r="W276" s="958" t="s">
        <v>2389</v>
      </c>
      <c r="X276" s="1265" t="s">
        <v>2431</v>
      </c>
      <c r="Y276" s="1266"/>
      <c r="Z276" s="1266"/>
      <c r="AA276" s="1266"/>
      <c r="AN276" s="2">
        <v>35</v>
      </c>
      <c r="AO276" s="2">
        <f t="shared" si="73"/>
        <v>504.42500000000001</v>
      </c>
      <c r="AP276" s="2">
        <f t="shared" si="73"/>
        <v>0.40325</v>
      </c>
      <c r="AQ276" s="2">
        <f t="shared" si="73"/>
        <v>272.66250000000002</v>
      </c>
      <c r="AR276" s="2">
        <f t="shared" si="73"/>
        <v>89.224999999999994</v>
      </c>
      <c r="AS276" s="2">
        <f t="shared" si="73"/>
        <v>9.5625000000000002E-2</v>
      </c>
      <c r="AT276" s="2">
        <f t="shared" si="73"/>
        <v>48.262500000000003</v>
      </c>
      <c r="AU276" s="2">
        <f t="shared" si="73"/>
        <v>35.424999999999997</v>
      </c>
      <c r="AV276" s="2">
        <f t="shared" si="73"/>
        <v>2.7625000000000004E-2</v>
      </c>
      <c r="AW276" s="2">
        <f t="shared" si="73"/>
        <v>20.262499999999999</v>
      </c>
      <c r="AX276" s="2">
        <f t="shared" si="73"/>
        <v>6.625</v>
      </c>
      <c r="AY276" s="2">
        <f t="shared" si="73"/>
        <v>1.0625000000000001E-2</v>
      </c>
      <c r="AZ276" s="2">
        <f t="shared" si="73"/>
        <v>4.0625</v>
      </c>
      <c r="BA276" s="2">
        <f t="shared" si="73"/>
        <v>0</v>
      </c>
      <c r="BB276" s="2">
        <f t="shared" si="73"/>
        <v>0</v>
      </c>
      <c r="BC276" s="2">
        <f t="shared" si="73"/>
        <v>0</v>
      </c>
    </row>
    <row r="277" spans="18:55">
      <c r="R277" s="827">
        <v>1000000</v>
      </c>
      <c r="S277" s="84">
        <v>60</v>
      </c>
      <c r="T277" s="94">
        <v>60</v>
      </c>
      <c r="V277" s="1298" t="s">
        <v>2432</v>
      </c>
      <c r="W277" s="938" t="s">
        <v>2433</v>
      </c>
      <c r="X277" s="1306" t="s">
        <v>2466</v>
      </c>
      <c r="Y277" s="1307"/>
      <c r="Z277" s="1307"/>
      <c r="AA277" s="1308"/>
      <c r="AN277" s="2">
        <v>36</v>
      </c>
      <c r="AO277" s="2">
        <f t="shared" si="73"/>
        <v>505.75</v>
      </c>
      <c r="AP277" s="2">
        <f t="shared" si="73"/>
        <v>0.40549999999999997</v>
      </c>
      <c r="AQ277" s="2">
        <f t="shared" si="73"/>
        <v>273.47500000000002</v>
      </c>
      <c r="AR277" s="2">
        <f t="shared" si="73"/>
        <v>90.55</v>
      </c>
      <c r="AS277" s="2">
        <f t="shared" si="73"/>
        <v>9.7750000000000004E-2</v>
      </c>
      <c r="AT277" s="2">
        <f t="shared" si="73"/>
        <v>49.075000000000003</v>
      </c>
      <c r="AU277" s="2">
        <f t="shared" si="73"/>
        <v>36.75</v>
      </c>
      <c r="AV277" s="2">
        <f t="shared" si="73"/>
        <v>2.9750000000000002E-2</v>
      </c>
      <c r="AW277" s="2">
        <f t="shared" si="73"/>
        <v>21.074999999999999</v>
      </c>
      <c r="AX277" s="2">
        <f t="shared" si="73"/>
        <v>7.9499999999999993</v>
      </c>
      <c r="AY277" s="2">
        <f t="shared" si="73"/>
        <v>1.2750000000000001E-2</v>
      </c>
      <c r="AZ277" s="2">
        <f t="shared" si="73"/>
        <v>4.875</v>
      </c>
      <c r="BA277" s="2">
        <f t="shared" si="73"/>
        <v>0</v>
      </c>
      <c r="BB277" s="2">
        <f t="shared" si="73"/>
        <v>0</v>
      </c>
      <c r="BC277" s="2">
        <f t="shared" si="73"/>
        <v>0</v>
      </c>
    </row>
    <row r="278" spans="18:55">
      <c r="V278" s="1299"/>
      <c r="W278" s="938" t="s">
        <v>2397</v>
      </c>
      <c r="X278" s="1306" t="s">
        <v>2467</v>
      </c>
      <c r="Y278" s="1307"/>
      <c r="Z278" s="1307"/>
      <c r="AA278" s="1308"/>
      <c r="AN278" s="2">
        <v>37</v>
      </c>
      <c r="AO278" s="2">
        <f t="shared" si="73"/>
        <v>507.07499999999999</v>
      </c>
      <c r="AP278" s="2">
        <f t="shared" si="73"/>
        <v>0.40775</v>
      </c>
      <c r="AQ278" s="2">
        <f t="shared" si="73"/>
        <v>274.28750000000002</v>
      </c>
      <c r="AR278" s="2">
        <f t="shared" si="73"/>
        <v>91.875</v>
      </c>
      <c r="AS278" s="2">
        <f t="shared" si="73"/>
        <v>9.9874999999999992E-2</v>
      </c>
      <c r="AT278" s="2">
        <f t="shared" si="73"/>
        <v>49.887500000000003</v>
      </c>
      <c r="AU278" s="2">
        <f t="shared" si="73"/>
        <v>38.075000000000003</v>
      </c>
      <c r="AV278" s="2">
        <f t="shared" si="73"/>
        <v>3.1875000000000001E-2</v>
      </c>
      <c r="AW278" s="2">
        <f t="shared" si="73"/>
        <v>21.887499999999999</v>
      </c>
      <c r="AX278" s="2">
        <f t="shared" si="73"/>
        <v>9.2750000000000004</v>
      </c>
      <c r="AY278" s="2">
        <f t="shared" si="73"/>
        <v>1.4875000000000001E-2</v>
      </c>
      <c r="AZ278" s="2">
        <f t="shared" si="73"/>
        <v>5.6875</v>
      </c>
      <c r="BA278" s="2">
        <f t="shared" si="73"/>
        <v>0</v>
      </c>
      <c r="BB278" s="2">
        <f t="shared" si="73"/>
        <v>0</v>
      </c>
      <c r="BC278" s="2">
        <f t="shared" si="73"/>
        <v>0</v>
      </c>
    </row>
    <row r="279" spans="18:55" ht="14.5" customHeight="1">
      <c r="V279" s="1299"/>
      <c r="W279" s="938" t="s">
        <v>2395</v>
      </c>
      <c r="X279" s="1283" t="s">
        <v>2396</v>
      </c>
      <c r="Y279" s="1301"/>
      <c r="Z279" s="1301"/>
      <c r="AA279" s="1284"/>
      <c r="AN279" s="887">
        <v>38</v>
      </c>
      <c r="AO279" s="887">
        <v>508.4</v>
      </c>
      <c r="AP279" s="887">
        <v>0.41</v>
      </c>
      <c r="AQ279" s="887">
        <v>275.10000000000002</v>
      </c>
      <c r="AR279" s="887">
        <v>93.2</v>
      </c>
      <c r="AS279" s="887">
        <v>0.10199999999999999</v>
      </c>
      <c r="AT279" s="887">
        <v>50.7</v>
      </c>
      <c r="AU279" s="887">
        <v>39.4</v>
      </c>
      <c r="AV279" s="887">
        <v>3.4000000000000002E-2</v>
      </c>
      <c r="AW279" s="887">
        <v>22.7</v>
      </c>
      <c r="AX279" s="887">
        <v>10.6</v>
      </c>
      <c r="AY279" s="887">
        <v>1.7000000000000001E-2</v>
      </c>
      <c r="AZ279" s="887">
        <v>6.5</v>
      </c>
      <c r="BA279" s="887">
        <v>0</v>
      </c>
      <c r="BB279" s="887">
        <v>0</v>
      </c>
      <c r="BC279" s="887">
        <v>0</v>
      </c>
    </row>
    <row r="280" spans="18:55">
      <c r="V280" s="1299"/>
      <c r="W280" s="938" t="s">
        <v>2397</v>
      </c>
      <c r="X280" s="1283" t="s">
        <v>2398</v>
      </c>
      <c r="Y280" s="1301"/>
      <c r="Z280" s="1301"/>
      <c r="AA280" s="1284"/>
      <c r="AN280" s="2">
        <v>39</v>
      </c>
      <c r="AO280" s="891">
        <f t="shared" ref="AO280:BC289" si="74">((($AN280-$AN$279)*(AO$290-AO$279))/($AN$290-$AN$279))+AO$279</f>
        <v>509.0181818181818</v>
      </c>
      <c r="AP280" s="891">
        <f t="shared" si="74"/>
        <v>0.41</v>
      </c>
      <c r="AQ280" s="891">
        <f t="shared" si="74"/>
        <v>275.59090909090912</v>
      </c>
      <c r="AR280" s="891">
        <f t="shared" si="74"/>
        <v>93.818181818181827</v>
      </c>
      <c r="AS280" s="891">
        <f t="shared" si="74"/>
        <v>0.10199999999999999</v>
      </c>
      <c r="AT280" s="891">
        <f t="shared" si="74"/>
        <v>51.190909090909095</v>
      </c>
      <c r="AU280" s="891">
        <f t="shared" si="74"/>
        <v>40.018181818181816</v>
      </c>
      <c r="AV280" s="2">
        <f t="shared" si="74"/>
        <v>3.4000000000000002E-2</v>
      </c>
      <c r="AW280" s="2">
        <f t="shared" si="74"/>
        <v>23.2</v>
      </c>
      <c r="AX280" s="891">
        <f t="shared" si="74"/>
        <v>11.218181818181817</v>
      </c>
      <c r="AY280" s="2">
        <f t="shared" si="74"/>
        <v>1.7000000000000001E-2</v>
      </c>
      <c r="AZ280" s="891">
        <f t="shared" si="74"/>
        <v>6.9909090909090912</v>
      </c>
      <c r="BA280" s="891">
        <f t="shared" si="74"/>
        <v>0.61818181818181817</v>
      </c>
      <c r="BB280" s="2">
        <f t="shared" si="74"/>
        <v>0</v>
      </c>
      <c r="BC280" s="2">
        <f t="shared" si="74"/>
        <v>0.5</v>
      </c>
    </row>
    <row r="281" spans="18:55" ht="16.5">
      <c r="V281" s="1299"/>
      <c r="W281" s="938" t="s">
        <v>2399</v>
      </c>
      <c r="X281" s="1306" t="s">
        <v>2468</v>
      </c>
      <c r="Y281" s="1307"/>
      <c r="Z281" s="1307"/>
      <c r="AA281" s="1308"/>
      <c r="AN281" s="2">
        <v>40</v>
      </c>
      <c r="AO281" s="891">
        <f t="shared" si="74"/>
        <v>509.63636363636363</v>
      </c>
      <c r="AP281" s="891">
        <f t="shared" si="74"/>
        <v>0.41</v>
      </c>
      <c r="AQ281" s="891">
        <f t="shared" si="74"/>
        <v>276.08181818181822</v>
      </c>
      <c r="AR281" s="891">
        <f t="shared" si="74"/>
        <v>94.436363636363637</v>
      </c>
      <c r="AS281" s="891">
        <f t="shared" si="74"/>
        <v>0.10199999999999999</v>
      </c>
      <c r="AT281" s="891">
        <f t="shared" si="74"/>
        <v>51.681818181818187</v>
      </c>
      <c r="AU281" s="891">
        <f t="shared" si="74"/>
        <v>40.636363636363633</v>
      </c>
      <c r="AV281" s="2">
        <f t="shared" si="74"/>
        <v>3.4000000000000002E-2</v>
      </c>
      <c r="AW281" s="2">
        <f t="shared" si="74"/>
        <v>23.7</v>
      </c>
      <c r="AX281" s="891">
        <f t="shared" si="74"/>
        <v>11.836363636363636</v>
      </c>
      <c r="AY281" s="2">
        <f t="shared" si="74"/>
        <v>1.7000000000000001E-2</v>
      </c>
      <c r="AZ281" s="891">
        <f t="shared" si="74"/>
        <v>7.4818181818181824</v>
      </c>
      <c r="BA281" s="891">
        <f t="shared" si="74"/>
        <v>1.2363636363636363</v>
      </c>
      <c r="BB281" s="2">
        <f t="shared" si="74"/>
        <v>0</v>
      </c>
      <c r="BC281" s="2">
        <f t="shared" si="74"/>
        <v>1</v>
      </c>
    </row>
    <row r="282" spans="18:55" ht="16.5">
      <c r="V282" s="1299"/>
      <c r="W282" s="938" t="s">
        <v>2401</v>
      </c>
      <c r="X282" s="1283" t="s">
        <v>2402</v>
      </c>
      <c r="Y282" s="1301"/>
      <c r="Z282" s="1301"/>
      <c r="AA282" s="1284"/>
      <c r="AN282" s="2">
        <v>41</v>
      </c>
      <c r="AO282" s="891">
        <f t="shared" si="74"/>
        <v>510.25454545454545</v>
      </c>
      <c r="AP282" s="891">
        <f t="shared" si="74"/>
        <v>0.41</v>
      </c>
      <c r="AQ282" s="891">
        <f t="shared" si="74"/>
        <v>276.57272727272726</v>
      </c>
      <c r="AR282" s="891">
        <f t="shared" si="74"/>
        <v>95.054545454545462</v>
      </c>
      <c r="AS282" s="891">
        <f t="shared" si="74"/>
        <v>0.10199999999999999</v>
      </c>
      <c r="AT282" s="891">
        <f t="shared" si="74"/>
        <v>52.172727272727272</v>
      </c>
      <c r="AU282" s="891">
        <f t="shared" si="74"/>
        <v>41.254545454545458</v>
      </c>
      <c r="AV282" s="2">
        <f t="shared" si="74"/>
        <v>3.4000000000000002E-2</v>
      </c>
      <c r="AW282" s="2">
        <f t="shared" si="74"/>
        <v>24.2</v>
      </c>
      <c r="AX282" s="891">
        <f t="shared" si="74"/>
        <v>12.454545454545453</v>
      </c>
      <c r="AY282" s="2">
        <f t="shared" si="74"/>
        <v>1.7000000000000001E-2</v>
      </c>
      <c r="AZ282" s="891">
        <f t="shared" si="74"/>
        <v>7.9727272727272727</v>
      </c>
      <c r="BA282" s="891">
        <f t="shared" si="74"/>
        <v>1.8545454545454545</v>
      </c>
      <c r="BB282" s="2">
        <f t="shared" si="74"/>
        <v>0</v>
      </c>
      <c r="BC282" s="2">
        <f t="shared" si="74"/>
        <v>1.5</v>
      </c>
    </row>
    <row r="283" spans="18:55" ht="16.5">
      <c r="V283" s="1300"/>
      <c r="W283" s="938" t="s">
        <v>2403</v>
      </c>
      <c r="X283" s="1287" t="s">
        <v>2404</v>
      </c>
      <c r="Y283" s="1305"/>
      <c r="Z283" s="1305"/>
      <c r="AA283" s="1288"/>
      <c r="AN283" s="2">
        <v>42</v>
      </c>
      <c r="AO283" s="891">
        <f t="shared" si="74"/>
        <v>510.87272727272727</v>
      </c>
      <c r="AP283" s="891">
        <f t="shared" si="74"/>
        <v>0.41</v>
      </c>
      <c r="AQ283" s="891">
        <f t="shared" si="74"/>
        <v>277.06363636363636</v>
      </c>
      <c r="AR283" s="891">
        <f t="shared" si="74"/>
        <v>95.672727272727272</v>
      </c>
      <c r="AS283" s="891">
        <f t="shared" si="74"/>
        <v>0.10199999999999999</v>
      </c>
      <c r="AT283" s="891">
        <f t="shared" si="74"/>
        <v>52.663636363636364</v>
      </c>
      <c r="AU283" s="891">
        <f t="shared" si="74"/>
        <v>41.872727272727275</v>
      </c>
      <c r="AV283" s="2">
        <f t="shared" si="74"/>
        <v>3.4000000000000002E-2</v>
      </c>
      <c r="AW283" s="2">
        <f t="shared" si="74"/>
        <v>24.7</v>
      </c>
      <c r="AX283" s="891">
        <f t="shared" si="74"/>
        <v>13.072727272727272</v>
      </c>
      <c r="AY283" s="2">
        <f t="shared" si="74"/>
        <v>1.7000000000000001E-2</v>
      </c>
      <c r="AZ283" s="891">
        <f t="shared" si="74"/>
        <v>8.4636363636363647</v>
      </c>
      <c r="BA283" s="891">
        <f t="shared" si="74"/>
        <v>2.4727272727272727</v>
      </c>
      <c r="BB283" s="2">
        <f t="shared" si="74"/>
        <v>0</v>
      </c>
      <c r="BC283" s="2">
        <f t="shared" si="74"/>
        <v>2</v>
      </c>
    </row>
    <row r="284" spans="18:55">
      <c r="V284" s="954"/>
      <c r="W284" s="956"/>
      <c r="X284" s="954"/>
      <c r="Y284" s="954"/>
      <c r="Z284" s="954"/>
      <c r="AA284" s="955"/>
      <c r="AN284" s="2">
        <v>43</v>
      </c>
      <c r="AO284" s="891">
        <f t="shared" si="74"/>
        <v>511.4909090909091</v>
      </c>
      <c r="AP284" s="891">
        <f t="shared" si="74"/>
        <v>0.41</v>
      </c>
      <c r="AQ284" s="891">
        <f t="shared" si="74"/>
        <v>277.55454545454546</v>
      </c>
      <c r="AR284" s="891">
        <f t="shared" si="74"/>
        <v>96.290909090909096</v>
      </c>
      <c r="AS284" s="891">
        <f t="shared" si="74"/>
        <v>0.10199999999999999</v>
      </c>
      <c r="AT284" s="891">
        <f t="shared" si="74"/>
        <v>53.154545454545456</v>
      </c>
      <c r="AU284" s="891">
        <f t="shared" si="74"/>
        <v>42.490909090909092</v>
      </c>
      <c r="AV284" s="2">
        <f t="shared" si="74"/>
        <v>3.4000000000000002E-2</v>
      </c>
      <c r="AW284" s="2">
        <f t="shared" si="74"/>
        <v>25.2</v>
      </c>
      <c r="AX284" s="891">
        <f t="shared" si="74"/>
        <v>13.69090909090909</v>
      </c>
      <c r="AY284" s="2">
        <f t="shared" si="74"/>
        <v>1.7000000000000001E-2</v>
      </c>
      <c r="AZ284" s="891">
        <f t="shared" si="74"/>
        <v>8.954545454545455</v>
      </c>
      <c r="BA284" s="891">
        <f t="shared" si="74"/>
        <v>3.0909090909090908</v>
      </c>
      <c r="BB284" s="2">
        <f t="shared" si="74"/>
        <v>0</v>
      </c>
      <c r="BC284" s="2">
        <f t="shared" si="74"/>
        <v>2.5</v>
      </c>
    </row>
    <row r="285" spans="18:55">
      <c r="V285" s="954"/>
      <c r="W285" s="956"/>
      <c r="X285" s="954"/>
      <c r="Y285" s="954"/>
      <c r="Z285" s="954"/>
      <c r="AA285" s="955"/>
      <c r="AN285" s="2">
        <v>44</v>
      </c>
      <c r="AO285" s="891">
        <f t="shared" si="74"/>
        <v>512.10909090909092</v>
      </c>
      <c r="AP285" s="891">
        <f t="shared" si="74"/>
        <v>0.41</v>
      </c>
      <c r="AQ285" s="891">
        <f t="shared" si="74"/>
        <v>278.04545454545456</v>
      </c>
      <c r="AR285" s="891">
        <f t="shared" si="74"/>
        <v>96.909090909090907</v>
      </c>
      <c r="AS285" s="891">
        <f t="shared" si="74"/>
        <v>0.10199999999999999</v>
      </c>
      <c r="AT285" s="891">
        <f t="shared" si="74"/>
        <v>53.645454545454548</v>
      </c>
      <c r="AU285" s="891">
        <f t="shared" si="74"/>
        <v>43.109090909090909</v>
      </c>
      <c r="AV285" s="2">
        <f t="shared" si="74"/>
        <v>3.4000000000000002E-2</v>
      </c>
      <c r="AW285" s="2">
        <f t="shared" si="74"/>
        <v>25.7</v>
      </c>
      <c r="AX285" s="891">
        <f t="shared" si="74"/>
        <v>14.309090909090909</v>
      </c>
      <c r="AY285" s="2">
        <f t="shared" si="74"/>
        <v>1.7000000000000001E-2</v>
      </c>
      <c r="AZ285" s="891">
        <f t="shared" si="74"/>
        <v>9.4454545454545453</v>
      </c>
      <c r="BA285" s="891">
        <f t="shared" si="74"/>
        <v>3.709090909090909</v>
      </c>
      <c r="BB285" s="2">
        <f t="shared" si="74"/>
        <v>0</v>
      </c>
      <c r="BC285" s="2">
        <f t="shared" si="74"/>
        <v>3</v>
      </c>
    </row>
    <row r="286" spans="18:55">
      <c r="V286" s="1265" t="s">
        <v>2405</v>
      </c>
      <c r="W286" s="1266"/>
      <c r="X286" s="1266"/>
      <c r="Y286" s="1266"/>
      <c r="Z286" s="954"/>
      <c r="AA286" s="955"/>
      <c r="AN286" s="2">
        <v>45</v>
      </c>
      <c r="AO286" s="891">
        <f t="shared" si="74"/>
        <v>512.72727272727275</v>
      </c>
      <c r="AP286" s="891">
        <f t="shared" si="74"/>
        <v>0.41</v>
      </c>
      <c r="AQ286" s="891">
        <f t="shared" si="74"/>
        <v>278.53636363636366</v>
      </c>
      <c r="AR286" s="891">
        <f t="shared" si="74"/>
        <v>97.527272727272731</v>
      </c>
      <c r="AS286" s="891">
        <f t="shared" si="74"/>
        <v>0.10199999999999999</v>
      </c>
      <c r="AT286" s="891">
        <f t="shared" si="74"/>
        <v>54.13636363636364</v>
      </c>
      <c r="AU286" s="891">
        <f t="shared" si="74"/>
        <v>43.727272727272727</v>
      </c>
      <c r="AV286" s="2">
        <f t="shared" si="74"/>
        <v>3.4000000000000002E-2</v>
      </c>
      <c r="AW286" s="2">
        <f t="shared" si="74"/>
        <v>26.2</v>
      </c>
      <c r="AX286" s="891">
        <f t="shared" si="74"/>
        <v>14.927272727272726</v>
      </c>
      <c r="AY286" s="2">
        <f t="shared" si="74"/>
        <v>1.7000000000000001E-2</v>
      </c>
      <c r="AZ286" s="891">
        <f t="shared" si="74"/>
        <v>9.9363636363636374</v>
      </c>
      <c r="BA286" s="891">
        <f t="shared" si="74"/>
        <v>4.3272727272727272</v>
      </c>
      <c r="BB286" s="2">
        <f t="shared" si="74"/>
        <v>0</v>
      </c>
      <c r="BC286" s="2">
        <f t="shared" si="74"/>
        <v>3.5</v>
      </c>
    </row>
    <row r="287" spans="18:55">
      <c r="V287" s="960" t="s">
        <v>2406</v>
      </c>
      <c r="W287" s="970" t="s">
        <v>212</v>
      </c>
      <c r="X287" s="960" t="s">
        <v>2407</v>
      </c>
      <c r="Y287" s="960" t="s">
        <v>2408</v>
      </c>
      <c r="Z287" s="954"/>
      <c r="AA287" s="955"/>
      <c r="AN287" s="2">
        <v>46</v>
      </c>
      <c r="AO287" s="891">
        <f t="shared" si="74"/>
        <v>513.34545454545457</v>
      </c>
      <c r="AP287" s="891">
        <f t="shared" si="74"/>
        <v>0.41</v>
      </c>
      <c r="AQ287" s="891">
        <f t="shared" si="74"/>
        <v>279.02727272727276</v>
      </c>
      <c r="AR287" s="891">
        <f t="shared" si="74"/>
        <v>98.145454545454541</v>
      </c>
      <c r="AS287" s="891">
        <f t="shared" si="74"/>
        <v>0.10199999999999999</v>
      </c>
      <c r="AT287" s="891">
        <f t="shared" si="74"/>
        <v>54.627272727272732</v>
      </c>
      <c r="AU287" s="891">
        <f t="shared" si="74"/>
        <v>44.345454545454544</v>
      </c>
      <c r="AV287" s="2">
        <f t="shared" si="74"/>
        <v>3.4000000000000002E-2</v>
      </c>
      <c r="AW287" s="2">
        <f t="shared" si="74"/>
        <v>26.7</v>
      </c>
      <c r="AX287" s="891">
        <f t="shared" si="74"/>
        <v>15.545454545454543</v>
      </c>
      <c r="AY287" s="2">
        <f t="shared" si="74"/>
        <v>1.7000000000000001E-2</v>
      </c>
      <c r="AZ287" s="891">
        <f t="shared" si="74"/>
        <v>10.427272727272728</v>
      </c>
      <c r="BA287" s="891">
        <f t="shared" si="74"/>
        <v>4.9454545454545453</v>
      </c>
      <c r="BB287" s="2">
        <f t="shared" si="74"/>
        <v>0</v>
      </c>
      <c r="BC287" s="2">
        <f t="shared" si="74"/>
        <v>4</v>
      </c>
    </row>
    <row r="288" spans="18:55" ht="116">
      <c r="V288" s="924" t="s">
        <v>2469</v>
      </c>
      <c r="W288" s="971" t="s">
        <v>2470</v>
      </c>
      <c r="X288" s="972" t="s">
        <v>2471</v>
      </c>
      <c r="Y288" s="925" t="s">
        <v>2472</v>
      </c>
      <c r="Z288" s="954"/>
      <c r="AA288" s="955"/>
      <c r="AN288" s="2">
        <v>47</v>
      </c>
      <c r="AO288" s="891">
        <f t="shared" si="74"/>
        <v>513.9636363636364</v>
      </c>
      <c r="AP288" s="891">
        <f t="shared" si="74"/>
        <v>0.41</v>
      </c>
      <c r="AQ288" s="891">
        <f t="shared" si="74"/>
        <v>279.5181818181818</v>
      </c>
      <c r="AR288" s="891">
        <f t="shared" si="74"/>
        <v>98.763636363636365</v>
      </c>
      <c r="AS288" s="891">
        <f t="shared" si="74"/>
        <v>0.10199999999999999</v>
      </c>
      <c r="AT288" s="891">
        <f t="shared" si="74"/>
        <v>55.118181818181817</v>
      </c>
      <c r="AU288" s="891">
        <f t="shared" si="74"/>
        <v>44.963636363636368</v>
      </c>
      <c r="AV288" s="2">
        <f t="shared" si="74"/>
        <v>3.4000000000000002E-2</v>
      </c>
      <c r="AW288" s="2">
        <f t="shared" si="74"/>
        <v>27.2</v>
      </c>
      <c r="AX288" s="891">
        <f t="shared" si="74"/>
        <v>16.163636363636364</v>
      </c>
      <c r="AY288" s="2">
        <f t="shared" si="74"/>
        <v>1.7000000000000001E-2</v>
      </c>
      <c r="AZ288" s="891">
        <f t="shared" si="74"/>
        <v>10.918181818181818</v>
      </c>
      <c r="BA288" s="891">
        <f t="shared" si="74"/>
        <v>5.5636363636363635</v>
      </c>
      <c r="BB288" s="2">
        <f t="shared" si="74"/>
        <v>0</v>
      </c>
      <c r="BC288" s="2">
        <f t="shared" si="74"/>
        <v>4.5</v>
      </c>
    </row>
    <row r="289" spans="22:55" ht="72.5">
      <c r="V289" s="924" t="s">
        <v>2473</v>
      </c>
      <c r="W289" s="973" t="s">
        <v>2423</v>
      </c>
      <c r="X289" s="961" t="s">
        <v>2474</v>
      </c>
      <c r="Y289" s="925" t="s">
        <v>2472</v>
      </c>
      <c r="Z289" s="954"/>
      <c r="AA289" s="955"/>
      <c r="AN289" s="2">
        <v>48</v>
      </c>
      <c r="AO289" s="891">
        <f t="shared" si="74"/>
        <v>514.58181818181822</v>
      </c>
      <c r="AP289" s="891">
        <f t="shared" si="74"/>
        <v>0.41</v>
      </c>
      <c r="AQ289" s="891">
        <f t="shared" si="74"/>
        <v>280.0090909090909</v>
      </c>
      <c r="AR289" s="891">
        <f t="shared" si="74"/>
        <v>99.381818181818176</v>
      </c>
      <c r="AS289" s="891">
        <f t="shared" si="74"/>
        <v>0.10199999999999999</v>
      </c>
      <c r="AT289" s="891">
        <f t="shared" si="74"/>
        <v>55.609090909090909</v>
      </c>
      <c r="AU289" s="891">
        <f t="shared" si="74"/>
        <v>45.581818181818186</v>
      </c>
      <c r="AV289" s="2">
        <f t="shared" si="74"/>
        <v>3.4000000000000002E-2</v>
      </c>
      <c r="AW289" s="2">
        <f t="shared" si="74"/>
        <v>27.7</v>
      </c>
      <c r="AX289" s="891">
        <f t="shared" si="74"/>
        <v>16.781818181818181</v>
      </c>
      <c r="AY289" s="2">
        <f t="shared" si="74"/>
        <v>1.7000000000000001E-2</v>
      </c>
      <c r="AZ289" s="891">
        <f t="shared" si="74"/>
        <v>11.40909090909091</v>
      </c>
      <c r="BA289" s="891">
        <f t="shared" si="74"/>
        <v>6.1818181818181817</v>
      </c>
      <c r="BB289" s="2">
        <f t="shared" si="74"/>
        <v>0</v>
      </c>
      <c r="BC289" s="2">
        <f t="shared" si="74"/>
        <v>5</v>
      </c>
    </row>
    <row r="290" spans="22:55" ht="29">
      <c r="V290" s="972" t="s">
        <v>2475</v>
      </c>
      <c r="W290" s="973" t="s">
        <v>2423</v>
      </c>
      <c r="X290" s="961" t="s">
        <v>2476</v>
      </c>
      <c r="Y290" s="925" t="s">
        <v>2472</v>
      </c>
      <c r="Z290" s="954"/>
      <c r="AA290" s="955"/>
      <c r="AN290" s="887">
        <v>49</v>
      </c>
      <c r="AO290" s="887">
        <v>515.20000000000005</v>
      </c>
      <c r="AP290" s="887">
        <v>0.41</v>
      </c>
      <c r="AQ290" s="887">
        <v>280.5</v>
      </c>
      <c r="AR290" s="887">
        <v>100</v>
      </c>
      <c r="AS290" s="887">
        <v>0.10199999999999999</v>
      </c>
      <c r="AT290" s="887">
        <v>56.1</v>
      </c>
      <c r="AU290" s="887">
        <v>46.2</v>
      </c>
      <c r="AV290" s="887">
        <v>3.4000000000000002E-2</v>
      </c>
      <c r="AW290" s="887">
        <v>28.2</v>
      </c>
      <c r="AX290" s="887">
        <v>17.399999999999999</v>
      </c>
      <c r="AY290" s="887">
        <v>1.7000000000000001E-2</v>
      </c>
      <c r="AZ290" s="887">
        <v>11.9</v>
      </c>
      <c r="BA290" s="887">
        <v>6.8</v>
      </c>
      <c r="BB290" s="887">
        <v>0</v>
      </c>
      <c r="BC290" s="887">
        <v>5.5</v>
      </c>
    </row>
    <row r="291" spans="22:55" ht="31">
      <c r="V291" s="924" t="s">
        <v>2477</v>
      </c>
      <c r="W291" s="973" t="s">
        <v>2478</v>
      </c>
      <c r="X291" s="961" t="s">
        <v>2417</v>
      </c>
      <c r="Y291" s="925" t="s">
        <v>2472</v>
      </c>
      <c r="Z291" s="954"/>
      <c r="AA291" s="955"/>
      <c r="AN291" s="2">
        <v>50</v>
      </c>
      <c r="AO291" s="891">
        <f t="shared" ref="AO291:BC300" si="75">((($AN291-$AN$290)*(AO$301-AO$290))/($AN$301-$AN$290))+AO$290</f>
        <v>515.80000000000007</v>
      </c>
      <c r="AP291" s="891">
        <f t="shared" si="75"/>
        <v>0.41154545454545455</v>
      </c>
      <c r="AQ291" s="891">
        <f t="shared" si="75"/>
        <v>280.82727272727271</v>
      </c>
      <c r="AR291" s="891">
        <f t="shared" si="75"/>
        <v>100.60909090909091</v>
      </c>
      <c r="AS291" s="891">
        <f t="shared" si="75"/>
        <v>0.10354545454545454</v>
      </c>
      <c r="AT291" s="891">
        <f t="shared" si="75"/>
        <v>56.427272727272729</v>
      </c>
      <c r="AU291" s="891">
        <f t="shared" si="75"/>
        <v>46.809090909090912</v>
      </c>
      <c r="AV291" s="891">
        <f t="shared" si="75"/>
        <v>3.5545454545454547E-2</v>
      </c>
      <c r="AW291" s="891">
        <f t="shared" si="75"/>
        <v>28.518181818181816</v>
      </c>
      <c r="AX291" s="891">
        <f t="shared" si="75"/>
        <v>18.009090909090908</v>
      </c>
      <c r="AY291" s="891">
        <f t="shared" si="75"/>
        <v>1.8545454545454546E-2</v>
      </c>
      <c r="AZ291" s="891">
        <f t="shared" si="75"/>
        <v>12.227272727272728</v>
      </c>
      <c r="BA291" s="891">
        <f t="shared" si="75"/>
        <v>7.4090909090909092</v>
      </c>
      <c r="BB291" s="891">
        <f t="shared" si="75"/>
        <v>1.5454545454545456E-3</v>
      </c>
      <c r="BC291" s="891">
        <f t="shared" si="75"/>
        <v>5.8181818181818183</v>
      </c>
    </row>
    <row r="292" spans="22:55" ht="29">
      <c r="V292" s="924" t="s">
        <v>2479</v>
      </c>
      <c r="W292" s="973">
        <v>1017</v>
      </c>
      <c r="X292" s="961" t="s">
        <v>2417</v>
      </c>
      <c r="Y292" s="925" t="s">
        <v>2472</v>
      </c>
      <c r="Z292" s="954"/>
      <c r="AA292" s="955"/>
      <c r="AN292" s="2">
        <v>51</v>
      </c>
      <c r="AO292" s="891">
        <f t="shared" si="75"/>
        <v>516.4</v>
      </c>
      <c r="AP292" s="891">
        <f t="shared" si="75"/>
        <v>0.41309090909090906</v>
      </c>
      <c r="AQ292" s="891">
        <f t="shared" si="75"/>
        <v>281.15454545454548</v>
      </c>
      <c r="AR292" s="891">
        <f t="shared" si="75"/>
        <v>101.21818181818182</v>
      </c>
      <c r="AS292" s="891">
        <f t="shared" si="75"/>
        <v>0.10509090909090908</v>
      </c>
      <c r="AT292" s="891">
        <f t="shared" si="75"/>
        <v>56.754545454545458</v>
      </c>
      <c r="AU292" s="891">
        <f t="shared" si="75"/>
        <v>47.418181818181822</v>
      </c>
      <c r="AV292" s="891">
        <f t="shared" si="75"/>
        <v>3.7090909090909091E-2</v>
      </c>
      <c r="AW292" s="891">
        <f t="shared" si="75"/>
        <v>28.836363636363636</v>
      </c>
      <c r="AX292" s="891">
        <f t="shared" si="75"/>
        <v>18.618181818181817</v>
      </c>
      <c r="AY292" s="891">
        <f t="shared" si="75"/>
        <v>2.0090909090909093E-2</v>
      </c>
      <c r="AZ292" s="891">
        <f t="shared" si="75"/>
        <v>12.554545454545455</v>
      </c>
      <c r="BA292" s="891">
        <f t="shared" si="75"/>
        <v>8.0181818181818176</v>
      </c>
      <c r="BB292" s="891">
        <f t="shared" si="75"/>
        <v>3.0909090909090912E-3</v>
      </c>
      <c r="BC292" s="891">
        <f t="shared" si="75"/>
        <v>6.1363636363636367</v>
      </c>
    </row>
    <row r="293" spans="22:55" ht="29">
      <c r="V293" s="924" t="s">
        <v>2480</v>
      </c>
      <c r="W293" s="974">
        <v>4900</v>
      </c>
      <c r="X293" s="961" t="s">
        <v>2417</v>
      </c>
      <c r="Y293" s="925" t="s">
        <v>2472</v>
      </c>
      <c r="Z293" s="954"/>
      <c r="AA293" s="955"/>
      <c r="AN293" s="2">
        <v>52</v>
      </c>
      <c r="AO293" s="891">
        <f t="shared" si="75"/>
        <v>517</v>
      </c>
      <c r="AP293" s="891">
        <f t="shared" si="75"/>
        <v>0.41463636363636364</v>
      </c>
      <c r="AQ293" s="891">
        <f t="shared" si="75"/>
        <v>281.4818181818182</v>
      </c>
      <c r="AR293" s="891">
        <f t="shared" si="75"/>
        <v>101.82727272727273</v>
      </c>
      <c r="AS293" s="891">
        <f t="shared" si="75"/>
        <v>0.10663636363636363</v>
      </c>
      <c r="AT293" s="891">
        <f t="shared" si="75"/>
        <v>57.081818181818186</v>
      </c>
      <c r="AU293" s="891">
        <f t="shared" si="75"/>
        <v>48.027272727272731</v>
      </c>
      <c r="AV293" s="891">
        <f t="shared" si="75"/>
        <v>3.8636363636363635E-2</v>
      </c>
      <c r="AW293" s="891">
        <f t="shared" si="75"/>
        <v>29.154545454545453</v>
      </c>
      <c r="AX293" s="891">
        <f t="shared" si="75"/>
        <v>19.227272727272727</v>
      </c>
      <c r="AY293" s="891">
        <f t="shared" si="75"/>
        <v>2.1636363636363638E-2</v>
      </c>
      <c r="AZ293" s="891">
        <f t="shared" si="75"/>
        <v>12.881818181818183</v>
      </c>
      <c r="BA293" s="891">
        <f t="shared" si="75"/>
        <v>8.627272727272727</v>
      </c>
      <c r="BB293" s="891">
        <f t="shared" si="75"/>
        <v>4.6363636363636364E-3</v>
      </c>
      <c r="BC293" s="891">
        <f t="shared" si="75"/>
        <v>6.454545454545455</v>
      </c>
    </row>
    <row r="294" spans="22:55" ht="31">
      <c r="V294" s="924" t="s">
        <v>2481</v>
      </c>
      <c r="W294" s="973" t="s">
        <v>2482</v>
      </c>
      <c r="X294" s="961" t="s">
        <v>2417</v>
      </c>
      <c r="Y294" s="925" t="s">
        <v>2472</v>
      </c>
      <c r="Z294" s="954"/>
      <c r="AA294" s="955"/>
      <c r="AN294" s="2">
        <v>53</v>
      </c>
      <c r="AO294" s="891">
        <f t="shared" si="75"/>
        <v>517.6</v>
      </c>
      <c r="AP294" s="891">
        <f t="shared" si="75"/>
        <v>0.41618181818181815</v>
      </c>
      <c r="AQ294" s="891">
        <f t="shared" si="75"/>
        <v>281.80909090909091</v>
      </c>
      <c r="AR294" s="891">
        <f t="shared" si="75"/>
        <v>102.43636363636364</v>
      </c>
      <c r="AS294" s="891">
        <f t="shared" si="75"/>
        <v>0.10818181818181817</v>
      </c>
      <c r="AT294" s="891">
        <f t="shared" si="75"/>
        <v>57.409090909090914</v>
      </c>
      <c r="AU294" s="891">
        <f t="shared" si="75"/>
        <v>48.63636363636364</v>
      </c>
      <c r="AV294" s="891">
        <f t="shared" si="75"/>
        <v>4.018181818181818E-2</v>
      </c>
      <c r="AW294" s="891">
        <f t="shared" si="75"/>
        <v>29.472727272727273</v>
      </c>
      <c r="AX294" s="891">
        <f t="shared" si="75"/>
        <v>19.836363636363636</v>
      </c>
      <c r="AY294" s="891">
        <f t="shared" si="75"/>
        <v>2.3181818181818185E-2</v>
      </c>
      <c r="AZ294" s="891">
        <f t="shared" si="75"/>
        <v>13.209090909090909</v>
      </c>
      <c r="BA294" s="891">
        <f t="shared" si="75"/>
        <v>9.2363636363636363</v>
      </c>
      <c r="BB294" s="891">
        <f t="shared" si="75"/>
        <v>6.1818181818181824E-3</v>
      </c>
      <c r="BC294" s="891">
        <f t="shared" si="75"/>
        <v>6.7727272727272725</v>
      </c>
    </row>
    <row r="295" spans="22:55" ht="31">
      <c r="V295" s="924" t="s">
        <v>2483</v>
      </c>
      <c r="W295" s="973" t="s">
        <v>2484</v>
      </c>
      <c r="X295" s="961" t="s">
        <v>2417</v>
      </c>
      <c r="Y295" s="925" t="s">
        <v>2472</v>
      </c>
      <c r="Z295" s="954"/>
      <c r="AA295" s="955"/>
      <c r="AN295" s="2">
        <v>54</v>
      </c>
      <c r="AO295" s="891">
        <f t="shared" si="75"/>
        <v>518.20000000000005</v>
      </c>
      <c r="AP295" s="891">
        <f t="shared" si="75"/>
        <v>0.41772727272727272</v>
      </c>
      <c r="AQ295" s="891">
        <f t="shared" si="75"/>
        <v>282.13636363636363</v>
      </c>
      <c r="AR295" s="891">
        <f t="shared" si="75"/>
        <v>103.04545454545455</v>
      </c>
      <c r="AS295" s="891">
        <f t="shared" si="75"/>
        <v>0.10972727272727271</v>
      </c>
      <c r="AT295" s="891">
        <f t="shared" si="75"/>
        <v>57.736363636363642</v>
      </c>
      <c r="AU295" s="891">
        <f t="shared" si="75"/>
        <v>49.24545454545455</v>
      </c>
      <c r="AV295" s="891">
        <f t="shared" si="75"/>
        <v>4.1727272727272724E-2</v>
      </c>
      <c r="AW295" s="891">
        <f t="shared" si="75"/>
        <v>29.790909090909089</v>
      </c>
      <c r="AX295" s="891">
        <f t="shared" si="75"/>
        <v>20.445454545454545</v>
      </c>
      <c r="AY295" s="891">
        <f t="shared" si="75"/>
        <v>2.472727272727273E-2</v>
      </c>
      <c r="AZ295" s="891">
        <f t="shared" si="75"/>
        <v>13.536363636363637</v>
      </c>
      <c r="BA295" s="891">
        <f t="shared" si="75"/>
        <v>9.8454545454545457</v>
      </c>
      <c r="BB295" s="891">
        <f t="shared" si="75"/>
        <v>7.7272727272727276E-3</v>
      </c>
      <c r="BC295" s="891">
        <f t="shared" si="75"/>
        <v>7.0909090909090908</v>
      </c>
    </row>
    <row r="296" spans="22:55" ht="14.5" customHeight="1">
      <c r="V296" s="924" t="s">
        <v>2485</v>
      </c>
      <c r="W296" s="973" t="s">
        <v>2423</v>
      </c>
      <c r="X296" s="961" t="s">
        <v>2486</v>
      </c>
      <c r="Y296" s="925" t="s">
        <v>2472</v>
      </c>
      <c r="Z296" s="954"/>
      <c r="AA296" s="955"/>
      <c r="AN296" s="2">
        <v>55</v>
      </c>
      <c r="AO296" s="891">
        <f t="shared" si="75"/>
        <v>518.79999999999995</v>
      </c>
      <c r="AP296" s="891">
        <f t="shared" si="75"/>
        <v>0.41927272727272724</v>
      </c>
      <c r="AQ296" s="891">
        <f t="shared" si="75"/>
        <v>282.4636363636364</v>
      </c>
      <c r="AR296" s="891">
        <f t="shared" si="75"/>
        <v>103.65454545454546</v>
      </c>
      <c r="AS296" s="891">
        <f t="shared" si="75"/>
        <v>0.11127272727272727</v>
      </c>
      <c r="AT296" s="891">
        <f t="shared" si="75"/>
        <v>58.063636363636363</v>
      </c>
      <c r="AU296" s="891">
        <f t="shared" si="75"/>
        <v>49.854545454545452</v>
      </c>
      <c r="AV296" s="891">
        <f t="shared" si="75"/>
        <v>4.3272727272727268E-2</v>
      </c>
      <c r="AW296" s="891">
        <f t="shared" si="75"/>
        <v>30.109090909090909</v>
      </c>
      <c r="AX296" s="891">
        <f t="shared" si="75"/>
        <v>21.054545454545455</v>
      </c>
      <c r="AY296" s="891">
        <f t="shared" si="75"/>
        <v>2.6272727272727274E-2</v>
      </c>
      <c r="AZ296" s="891">
        <f t="shared" si="75"/>
        <v>13.863636363636363</v>
      </c>
      <c r="BA296" s="891">
        <f t="shared" si="75"/>
        <v>10.454545454545455</v>
      </c>
      <c r="BB296" s="891">
        <f t="shared" si="75"/>
        <v>9.2727272727272728E-3</v>
      </c>
      <c r="BC296" s="891">
        <f t="shared" si="75"/>
        <v>7.4090909090909092</v>
      </c>
    </row>
    <row r="297" spans="22:55" ht="43.5">
      <c r="V297" s="924" t="s">
        <v>2487</v>
      </c>
      <c r="W297" s="973" t="s">
        <v>2423</v>
      </c>
      <c r="X297" s="961" t="s">
        <v>2486</v>
      </c>
      <c r="Y297" s="925" t="s">
        <v>2472</v>
      </c>
      <c r="Z297" s="954"/>
      <c r="AA297" s="955"/>
      <c r="AN297" s="2">
        <v>56</v>
      </c>
      <c r="AO297" s="891">
        <f t="shared" si="75"/>
        <v>519.4</v>
      </c>
      <c r="AP297" s="891">
        <f t="shared" si="75"/>
        <v>0.42081818181818181</v>
      </c>
      <c r="AQ297" s="891">
        <f t="shared" si="75"/>
        <v>282.79090909090911</v>
      </c>
      <c r="AR297" s="891">
        <f t="shared" si="75"/>
        <v>104.26363636363637</v>
      </c>
      <c r="AS297" s="891">
        <f t="shared" si="75"/>
        <v>0.11281818181818182</v>
      </c>
      <c r="AT297" s="891">
        <f t="shared" si="75"/>
        <v>58.390909090909091</v>
      </c>
      <c r="AU297" s="891">
        <f t="shared" si="75"/>
        <v>50.463636363636361</v>
      </c>
      <c r="AV297" s="891">
        <f t="shared" si="75"/>
        <v>4.481818181818182E-2</v>
      </c>
      <c r="AW297" s="891">
        <f t="shared" si="75"/>
        <v>30.427272727272726</v>
      </c>
      <c r="AX297" s="891">
        <f t="shared" si="75"/>
        <v>21.663636363636364</v>
      </c>
      <c r="AY297" s="891">
        <f t="shared" si="75"/>
        <v>2.7818181818181818E-2</v>
      </c>
      <c r="AZ297" s="891">
        <f t="shared" si="75"/>
        <v>14.190909090909091</v>
      </c>
      <c r="BA297" s="891">
        <f t="shared" si="75"/>
        <v>11.063636363636363</v>
      </c>
      <c r="BB297" s="891">
        <f t="shared" si="75"/>
        <v>1.0818181818181819E-2</v>
      </c>
      <c r="BC297" s="891">
        <f t="shared" si="75"/>
        <v>7.7272727272727266</v>
      </c>
    </row>
    <row r="298" spans="22:55" ht="29">
      <c r="V298" s="924" t="s">
        <v>2488</v>
      </c>
      <c r="W298" s="973" t="s">
        <v>2423</v>
      </c>
      <c r="X298" s="961" t="s">
        <v>2486</v>
      </c>
      <c r="Y298" s="925" t="s">
        <v>2472</v>
      </c>
      <c r="Z298" s="954"/>
      <c r="AA298" s="955"/>
      <c r="AN298" s="2">
        <v>57</v>
      </c>
      <c r="AO298" s="891">
        <f t="shared" si="75"/>
        <v>520</v>
      </c>
      <c r="AP298" s="891">
        <f t="shared" si="75"/>
        <v>0.42236363636363633</v>
      </c>
      <c r="AQ298" s="891">
        <f t="shared" si="75"/>
        <v>283.11818181818182</v>
      </c>
      <c r="AR298" s="891">
        <f t="shared" si="75"/>
        <v>104.87272727272727</v>
      </c>
      <c r="AS298" s="891">
        <f t="shared" si="75"/>
        <v>0.11436363636363636</v>
      </c>
      <c r="AT298" s="891">
        <f t="shared" si="75"/>
        <v>58.718181818181819</v>
      </c>
      <c r="AU298" s="891">
        <f t="shared" si="75"/>
        <v>51.072727272727271</v>
      </c>
      <c r="AV298" s="891">
        <f t="shared" si="75"/>
        <v>4.6363636363636364E-2</v>
      </c>
      <c r="AW298" s="891">
        <f t="shared" si="75"/>
        <v>30.745454545454546</v>
      </c>
      <c r="AX298" s="891">
        <f t="shared" si="75"/>
        <v>22.272727272727273</v>
      </c>
      <c r="AY298" s="891">
        <f t="shared" si="75"/>
        <v>2.9363636363636366E-2</v>
      </c>
      <c r="AZ298" s="891">
        <f t="shared" si="75"/>
        <v>14.518181818181818</v>
      </c>
      <c r="BA298" s="891">
        <f t="shared" si="75"/>
        <v>11.672727272727272</v>
      </c>
      <c r="BB298" s="891">
        <f t="shared" si="75"/>
        <v>1.2363636363636365E-2</v>
      </c>
      <c r="BC298" s="891">
        <f t="shared" si="75"/>
        <v>8.045454545454545</v>
      </c>
    </row>
    <row r="299" spans="22:55" ht="29">
      <c r="V299" s="924" t="s">
        <v>2489</v>
      </c>
      <c r="W299" s="975">
        <v>0.82199999999999995</v>
      </c>
      <c r="X299" s="961" t="s">
        <v>2417</v>
      </c>
      <c r="Y299" s="925" t="s">
        <v>2472</v>
      </c>
      <c r="Z299" s="954"/>
      <c r="AA299" s="955"/>
      <c r="AN299" s="2">
        <v>58</v>
      </c>
      <c r="AO299" s="891">
        <f t="shared" si="75"/>
        <v>520.6</v>
      </c>
      <c r="AP299" s="891">
        <f t="shared" si="75"/>
        <v>0.4239090909090909</v>
      </c>
      <c r="AQ299" s="891">
        <f t="shared" si="75"/>
        <v>283.44545454545454</v>
      </c>
      <c r="AR299" s="891">
        <f t="shared" si="75"/>
        <v>105.48181818181818</v>
      </c>
      <c r="AS299" s="891">
        <f t="shared" si="75"/>
        <v>0.11590909090909091</v>
      </c>
      <c r="AT299" s="891">
        <f t="shared" si="75"/>
        <v>59.045454545454547</v>
      </c>
      <c r="AU299" s="891">
        <f t="shared" si="75"/>
        <v>51.68181818181818</v>
      </c>
      <c r="AV299" s="891">
        <f t="shared" si="75"/>
        <v>4.7909090909090908E-2</v>
      </c>
      <c r="AW299" s="891">
        <f t="shared" si="75"/>
        <v>31.063636363636363</v>
      </c>
      <c r="AX299" s="891">
        <f t="shared" si="75"/>
        <v>22.881818181818183</v>
      </c>
      <c r="AY299" s="891">
        <f t="shared" si="75"/>
        <v>3.0909090909090914E-2</v>
      </c>
      <c r="AZ299" s="891">
        <f t="shared" si="75"/>
        <v>14.845454545454546</v>
      </c>
      <c r="BA299" s="891">
        <f t="shared" si="75"/>
        <v>12.281818181818181</v>
      </c>
      <c r="BB299" s="891">
        <f t="shared" si="75"/>
        <v>1.3909090909090911E-2</v>
      </c>
      <c r="BC299" s="891">
        <f t="shared" si="75"/>
        <v>8.3636363636363633</v>
      </c>
    </row>
    <row r="300" spans="22:55" ht="31">
      <c r="V300" s="924" t="s">
        <v>2490</v>
      </c>
      <c r="W300" s="973" t="s">
        <v>2491</v>
      </c>
      <c r="X300" s="961" t="s">
        <v>2417</v>
      </c>
      <c r="Y300" s="925" t="s">
        <v>2472</v>
      </c>
      <c r="Z300" s="954"/>
      <c r="AA300" s="955"/>
      <c r="AN300" s="2">
        <v>59</v>
      </c>
      <c r="AO300" s="891">
        <f t="shared" si="75"/>
        <v>521.19999999999993</v>
      </c>
      <c r="AP300" s="891">
        <f t="shared" si="75"/>
        <v>0.42545454545454542</v>
      </c>
      <c r="AQ300" s="891">
        <f t="shared" si="75"/>
        <v>283.77272727272731</v>
      </c>
      <c r="AR300" s="891">
        <f t="shared" si="75"/>
        <v>106.09090909090909</v>
      </c>
      <c r="AS300" s="891">
        <f t="shared" si="75"/>
        <v>0.11745454545454545</v>
      </c>
      <c r="AT300" s="891">
        <f t="shared" si="75"/>
        <v>59.372727272727275</v>
      </c>
      <c r="AU300" s="891">
        <f t="shared" si="75"/>
        <v>52.290909090909089</v>
      </c>
      <c r="AV300" s="891">
        <f t="shared" si="75"/>
        <v>4.9454545454545452E-2</v>
      </c>
      <c r="AW300" s="891">
        <f t="shared" si="75"/>
        <v>31.381818181818183</v>
      </c>
      <c r="AX300" s="891">
        <f t="shared" si="75"/>
        <v>23.490909090909092</v>
      </c>
      <c r="AY300" s="891">
        <f t="shared" si="75"/>
        <v>3.2454545454545458E-2</v>
      </c>
      <c r="AZ300" s="891">
        <f t="shared" si="75"/>
        <v>15.172727272727274</v>
      </c>
      <c r="BA300" s="891">
        <f t="shared" si="75"/>
        <v>12.890909090909091</v>
      </c>
      <c r="BB300" s="891">
        <f t="shared" si="75"/>
        <v>1.5454545454545455E-2</v>
      </c>
      <c r="BC300" s="891">
        <f t="shared" si="75"/>
        <v>8.6818181818181817</v>
      </c>
    </row>
    <row r="301" spans="22:55" ht="45.5">
      <c r="V301" s="924" t="s">
        <v>2492</v>
      </c>
      <c r="W301" s="973" t="s">
        <v>2423</v>
      </c>
      <c r="X301" s="961" t="s">
        <v>2493</v>
      </c>
      <c r="Y301" s="976" t="s">
        <v>2472</v>
      </c>
      <c r="Z301" s="954"/>
      <c r="AA301" s="955"/>
      <c r="AN301" s="887">
        <v>60</v>
      </c>
      <c r="AO301" s="887">
        <v>521.79999999999995</v>
      </c>
      <c r="AP301" s="887">
        <v>0.42699999999999999</v>
      </c>
      <c r="AQ301" s="887">
        <v>284.10000000000002</v>
      </c>
      <c r="AR301" s="887">
        <v>106.7</v>
      </c>
      <c r="AS301" s="887">
        <v>0.11899999999999999</v>
      </c>
      <c r="AT301" s="887">
        <v>59.7</v>
      </c>
      <c r="AU301" s="887">
        <v>52.9</v>
      </c>
      <c r="AV301" s="887">
        <v>5.0999999999999997E-2</v>
      </c>
      <c r="AW301" s="887">
        <v>31.7</v>
      </c>
      <c r="AX301" s="887">
        <v>24.1</v>
      </c>
      <c r="AY301" s="887">
        <v>3.4000000000000002E-2</v>
      </c>
      <c r="AZ301" s="887">
        <v>15.5</v>
      </c>
      <c r="BA301" s="887">
        <v>13.5</v>
      </c>
      <c r="BB301" s="887">
        <v>1.7000000000000001E-2</v>
      </c>
      <c r="BC301" s="887">
        <v>9</v>
      </c>
    </row>
    <row r="302" spans="22:55">
      <c r="V302" s="955"/>
      <c r="W302" s="955"/>
      <c r="X302" s="955"/>
      <c r="Y302" s="955"/>
      <c r="Z302" s="955"/>
      <c r="AA302" s="955"/>
    </row>
    <row r="303" spans="22:55">
      <c r="V303" s="1309" t="s">
        <v>2494</v>
      </c>
      <c r="W303" s="1309"/>
      <c r="X303" s="1309"/>
      <c r="Y303" s="1309"/>
      <c r="Z303" s="1309"/>
      <c r="AA303" s="955"/>
    </row>
    <row r="304" spans="22:55">
      <c r="V304" s="977" t="s">
        <v>1608</v>
      </c>
      <c r="W304" s="978" t="s">
        <v>2495</v>
      </c>
      <c r="X304" s="979" t="s">
        <v>2496</v>
      </c>
      <c r="Y304" s="980" t="s">
        <v>2497</v>
      </c>
      <c r="Z304" s="981" t="s">
        <v>2498</v>
      </c>
      <c r="AA304" s="955"/>
    </row>
    <row r="305" spans="22:55" ht="29">
      <c r="V305" s="946" t="s">
        <v>1612</v>
      </c>
      <c r="W305" s="982" t="s">
        <v>2499</v>
      </c>
      <c r="X305" s="982">
        <v>5</v>
      </c>
      <c r="Y305" s="983" t="s">
        <v>2500</v>
      </c>
      <c r="Z305" s="982">
        <v>12</v>
      </c>
      <c r="AA305" s="955"/>
    </row>
    <row r="306" spans="22:55" ht="29">
      <c r="V306" s="946" t="s">
        <v>1613</v>
      </c>
      <c r="W306" s="982" t="s">
        <v>2499</v>
      </c>
      <c r="X306" s="982">
        <v>7.5</v>
      </c>
      <c r="Y306" s="983" t="s">
        <v>2500</v>
      </c>
      <c r="Z306" s="982">
        <v>13.5</v>
      </c>
      <c r="AA306" s="955"/>
      <c r="AN306" s="431" t="s">
        <v>1137</v>
      </c>
    </row>
    <row r="307" spans="22:55" ht="29">
      <c r="V307" s="946" t="s">
        <v>2501</v>
      </c>
      <c r="W307" s="972" t="s">
        <v>2502</v>
      </c>
      <c r="X307" s="982">
        <v>5</v>
      </c>
      <c r="Y307" s="983" t="s">
        <v>2503</v>
      </c>
      <c r="Z307" s="982">
        <v>12</v>
      </c>
      <c r="AA307" s="955"/>
      <c r="AN307" s="2" t="s">
        <v>1082</v>
      </c>
      <c r="AO307" s="880">
        <v>0</v>
      </c>
      <c r="AP307" s="880"/>
      <c r="AQ307" s="880"/>
      <c r="AR307" s="880">
        <v>11</v>
      </c>
      <c r="AS307" s="880"/>
      <c r="AT307" s="880"/>
      <c r="AU307" s="880">
        <v>19</v>
      </c>
      <c r="AV307" s="880"/>
      <c r="AW307" s="880"/>
      <c r="AX307" s="880">
        <v>30</v>
      </c>
      <c r="AY307" s="880"/>
      <c r="AZ307" s="880"/>
      <c r="BA307" s="880">
        <v>38</v>
      </c>
      <c r="BB307" s="880"/>
      <c r="BC307" s="880"/>
    </row>
    <row r="308" spans="22:55" ht="29">
      <c r="V308" s="946" t="s">
        <v>1615</v>
      </c>
      <c r="W308" s="972" t="s">
        <v>2504</v>
      </c>
      <c r="X308" s="982">
        <v>7.5</v>
      </c>
      <c r="Y308" s="983" t="s">
        <v>2500</v>
      </c>
      <c r="Z308" s="982">
        <v>13.5</v>
      </c>
      <c r="AA308" s="955"/>
      <c r="AN308" s="2" t="s">
        <v>1083</v>
      </c>
      <c r="AO308" s="2" t="s">
        <v>1084</v>
      </c>
      <c r="AP308" s="883" t="s">
        <v>1085</v>
      </c>
      <c r="AQ308" s="884"/>
      <c r="AR308" s="2" t="s">
        <v>1084</v>
      </c>
      <c r="AS308" s="883" t="s">
        <v>1085</v>
      </c>
      <c r="AT308" s="884"/>
      <c r="AU308" s="2" t="s">
        <v>1084</v>
      </c>
      <c r="AV308" s="883" t="s">
        <v>1085</v>
      </c>
      <c r="AW308" s="884"/>
      <c r="AX308" s="2" t="s">
        <v>1084</v>
      </c>
      <c r="AY308" s="883" t="s">
        <v>1085</v>
      </c>
      <c r="AZ308" s="884"/>
      <c r="BA308" s="2" t="s">
        <v>1084</v>
      </c>
      <c r="BB308" s="883" t="s">
        <v>1085</v>
      </c>
      <c r="BC308" s="884"/>
    </row>
    <row r="309" spans="22:55" ht="29">
      <c r="V309" s="946" t="s">
        <v>2381</v>
      </c>
      <c r="W309" s="982" t="s">
        <v>2505</v>
      </c>
      <c r="X309" s="982">
        <v>7.5</v>
      </c>
      <c r="Y309" s="983" t="s">
        <v>2500</v>
      </c>
      <c r="Z309" s="982">
        <v>13.5</v>
      </c>
      <c r="AA309" s="955"/>
      <c r="AN309" s="2">
        <v>11</v>
      </c>
      <c r="AO309" s="891">
        <v>2988.4</v>
      </c>
      <c r="AP309" s="897">
        <v>0.34100000000000003</v>
      </c>
      <c r="AQ309" s="898">
        <v>0</v>
      </c>
      <c r="AR309" s="898">
        <v>0</v>
      </c>
      <c r="AS309" s="898">
        <v>0</v>
      </c>
      <c r="AT309" s="898">
        <v>0</v>
      </c>
      <c r="AU309" s="898">
        <v>0</v>
      </c>
      <c r="AV309" s="898">
        <v>0</v>
      </c>
      <c r="AW309" s="898">
        <v>0</v>
      </c>
      <c r="AX309" s="898">
        <v>0</v>
      </c>
      <c r="AY309" s="898">
        <v>0</v>
      </c>
      <c r="AZ309" s="898">
        <v>0</v>
      </c>
      <c r="BA309" s="898">
        <v>0</v>
      </c>
      <c r="BB309" s="898">
        <v>0</v>
      </c>
      <c r="BC309" s="898">
        <v>0</v>
      </c>
    </row>
    <row r="310" spans="22:55" ht="29">
      <c r="V310" s="946" t="s">
        <v>2382</v>
      </c>
      <c r="W310" s="972" t="s">
        <v>2506</v>
      </c>
      <c r="X310" s="982">
        <v>5</v>
      </c>
      <c r="Y310" s="983" t="s">
        <v>2500</v>
      </c>
      <c r="Z310" s="982">
        <v>12</v>
      </c>
      <c r="AA310" s="955"/>
      <c r="AN310" s="2">
        <v>12</v>
      </c>
      <c r="AO310" s="891">
        <f t="shared" ref="AO310:BC316" si="76">((($AN310-$AN$309)*(AO$317-AO$309))/($AN$317-$AN$309))+AO$309</f>
        <v>3031.4875000000002</v>
      </c>
      <c r="AP310" s="891">
        <f t="shared" si="76"/>
        <v>0.34962500000000002</v>
      </c>
      <c r="AQ310" s="835">
        <f t="shared" si="76"/>
        <v>0</v>
      </c>
      <c r="AR310" s="891">
        <f t="shared" si="76"/>
        <v>43.087499999999999</v>
      </c>
      <c r="AS310" s="891">
        <f t="shared" si="76"/>
        <v>8.5000000000000006E-3</v>
      </c>
      <c r="AT310" s="2">
        <f t="shared" si="76"/>
        <v>0</v>
      </c>
      <c r="AU310" s="2">
        <f t="shared" si="76"/>
        <v>0</v>
      </c>
      <c r="AV310" s="2">
        <f t="shared" si="76"/>
        <v>0</v>
      </c>
      <c r="AW310" s="2">
        <f t="shared" si="76"/>
        <v>0</v>
      </c>
      <c r="AX310" s="2">
        <f t="shared" si="76"/>
        <v>0</v>
      </c>
      <c r="AY310" s="2">
        <f t="shared" si="76"/>
        <v>0</v>
      </c>
      <c r="AZ310" s="2">
        <f t="shared" si="76"/>
        <v>0</v>
      </c>
      <c r="BA310" s="2">
        <f t="shared" si="76"/>
        <v>0</v>
      </c>
      <c r="BB310" s="2">
        <f t="shared" si="76"/>
        <v>0</v>
      </c>
      <c r="BC310" s="2">
        <f t="shared" si="76"/>
        <v>0</v>
      </c>
    </row>
    <row r="311" spans="22:55" ht="29">
      <c r="V311" s="946" t="s">
        <v>1616</v>
      </c>
      <c r="W311" s="982" t="s">
        <v>2507</v>
      </c>
      <c r="X311" s="982">
        <v>5</v>
      </c>
      <c r="Y311" s="983" t="s">
        <v>2508</v>
      </c>
      <c r="Z311" s="982">
        <v>12</v>
      </c>
      <c r="AA311" s="955"/>
      <c r="AN311" s="2">
        <v>13</v>
      </c>
      <c r="AO311" s="891">
        <f t="shared" si="76"/>
        <v>3074.5749999999998</v>
      </c>
      <c r="AP311" s="891">
        <f t="shared" si="76"/>
        <v>0.35825000000000001</v>
      </c>
      <c r="AQ311" s="835">
        <f t="shared" si="76"/>
        <v>0</v>
      </c>
      <c r="AR311" s="891">
        <f t="shared" si="76"/>
        <v>86.174999999999997</v>
      </c>
      <c r="AS311" s="891">
        <f t="shared" si="76"/>
        <v>1.7000000000000001E-2</v>
      </c>
      <c r="AT311" s="2">
        <f t="shared" si="76"/>
        <v>0</v>
      </c>
      <c r="AU311" s="2">
        <f t="shared" si="76"/>
        <v>0</v>
      </c>
      <c r="AV311" s="2">
        <f t="shared" si="76"/>
        <v>0</v>
      </c>
      <c r="AW311" s="2">
        <f t="shared" si="76"/>
        <v>0</v>
      </c>
      <c r="AX311" s="2">
        <f t="shared" si="76"/>
        <v>0</v>
      </c>
      <c r="AY311" s="2">
        <f t="shared" si="76"/>
        <v>0</v>
      </c>
      <c r="AZ311" s="2">
        <f t="shared" si="76"/>
        <v>0</v>
      </c>
      <c r="BA311" s="2">
        <f t="shared" si="76"/>
        <v>0</v>
      </c>
      <c r="BB311" s="2">
        <f t="shared" si="76"/>
        <v>0</v>
      </c>
      <c r="BC311" s="2">
        <f t="shared" si="76"/>
        <v>0</v>
      </c>
    </row>
    <row r="312" spans="22:55" ht="29">
      <c r="V312" s="946" t="s">
        <v>1617</v>
      </c>
      <c r="W312" s="982" t="s">
        <v>2507</v>
      </c>
      <c r="X312" s="982">
        <v>5</v>
      </c>
      <c r="Y312" s="983" t="s">
        <v>2500</v>
      </c>
      <c r="Z312" s="982">
        <v>12</v>
      </c>
      <c r="AA312" s="955"/>
      <c r="AN312" s="2">
        <v>14</v>
      </c>
      <c r="AO312" s="891">
        <f t="shared" si="76"/>
        <v>3117.6624999999999</v>
      </c>
      <c r="AP312" s="891">
        <f t="shared" si="76"/>
        <v>0.36687500000000001</v>
      </c>
      <c r="AQ312" s="835">
        <f t="shared" si="76"/>
        <v>0</v>
      </c>
      <c r="AR312" s="891">
        <f t="shared" si="76"/>
        <v>129.26249999999999</v>
      </c>
      <c r="AS312" s="891">
        <f t="shared" si="76"/>
        <v>2.5500000000000002E-2</v>
      </c>
      <c r="AT312" s="2">
        <f t="shared" si="76"/>
        <v>0</v>
      </c>
      <c r="AU312" s="2">
        <f t="shared" si="76"/>
        <v>0</v>
      </c>
      <c r="AV312" s="2">
        <f t="shared" si="76"/>
        <v>0</v>
      </c>
      <c r="AW312" s="2">
        <f t="shared" si="76"/>
        <v>0</v>
      </c>
      <c r="AX312" s="2">
        <f t="shared" si="76"/>
        <v>0</v>
      </c>
      <c r="AY312" s="2">
        <f t="shared" si="76"/>
        <v>0</v>
      </c>
      <c r="AZ312" s="2">
        <f t="shared" si="76"/>
        <v>0</v>
      </c>
      <c r="BA312" s="2">
        <f t="shared" si="76"/>
        <v>0</v>
      </c>
      <c r="BB312" s="2">
        <f t="shared" si="76"/>
        <v>0</v>
      </c>
      <c r="BC312" s="2">
        <f t="shared" si="76"/>
        <v>0</v>
      </c>
    </row>
    <row r="313" spans="22:55" ht="29">
      <c r="V313" s="946" t="s">
        <v>1826</v>
      </c>
      <c r="W313" s="982" t="s">
        <v>2509</v>
      </c>
      <c r="X313" s="982">
        <v>5</v>
      </c>
      <c r="Y313" s="983" t="s">
        <v>2503</v>
      </c>
      <c r="Z313" s="982">
        <v>12</v>
      </c>
      <c r="AA313" s="955"/>
      <c r="AN313" s="2">
        <v>15</v>
      </c>
      <c r="AO313" s="891">
        <f t="shared" si="76"/>
        <v>3160.75</v>
      </c>
      <c r="AP313" s="891">
        <f t="shared" si="76"/>
        <v>0.3755</v>
      </c>
      <c r="AQ313" s="835">
        <f t="shared" si="76"/>
        <v>0</v>
      </c>
      <c r="AR313" s="891">
        <f t="shared" si="76"/>
        <v>172.35</v>
      </c>
      <c r="AS313" s="891">
        <f t="shared" si="76"/>
        <v>3.4000000000000002E-2</v>
      </c>
      <c r="AT313" s="2">
        <f t="shared" si="76"/>
        <v>0</v>
      </c>
      <c r="AU313" s="2">
        <f t="shared" si="76"/>
        <v>0</v>
      </c>
      <c r="AV313" s="2">
        <f t="shared" si="76"/>
        <v>0</v>
      </c>
      <c r="AW313" s="2">
        <f t="shared" si="76"/>
        <v>0</v>
      </c>
      <c r="AX313" s="2">
        <f t="shared" si="76"/>
        <v>0</v>
      </c>
      <c r="AY313" s="2">
        <f t="shared" si="76"/>
        <v>0</v>
      </c>
      <c r="AZ313" s="2">
        <f t="shared" si="76"/>
        <v>0</v>
      </c>
      <c r="BA313" s="2">
        <f t="shared" si="76"/>
        <v>0</v>
      </c>
      <c r="BB313" s="2">
        <f t="shared" si="76"/>
        <v>0</v>
      </c>
      <c r="BC313" s="2">
        <f t="shared" si="76"/>
        <v>0</v>
      </c>
    </row>
    <row r="314" spans="22:55" ht="29">
      <c r="V314" s="946" t="s">
        <v>1619</v>
      </c>
      <c r="W314" s="972" t="s">
        <v>2504</v>
      </c>
      <c r="X314" s="982">
        <v>7.5</v>
      </c>
      <c r="Y314" s="983" t="s">
        <v>2500</v>
      </c>
      <c r="Z314" s="982">
        <v>13.5</v>
      </c>
      <c r="AA314" s="955"/>
      <c r="AN314" s="2">
        <v>16</v>
      </c>
      <c r="AO314" s="891">
        <f t="shared" si="76"/>
        <v>3203.8375000000001</v>
      </c>
      <c r="AP314" s="891">
        <f t="shared" si="76"/>
        <v>0.38412499999999999</v>
      </c>
      <c r="AQ314" s="835">
        <f t="shared" si="76"/>
        <v>0</v>
      </c>
      <c r="AR314" s="891">
        <f t="shared" si="76"/>
        <v>215.4375</v>
      </c>
      <c r="AS314" s="891">
        <f t="shared" si="76"/>
        <v>4.2500000000000003E-2</v>
      </c>
      <c r="AT314" s="2">
        <f t="shared" si="76"/>
        <v>0</v>
      </c>
      <c r="AU314" s="2">
        <f t="shared" si="76"/>
        <v>0</v>
      </c>
      <c r="AV314" s="2">
        <f t="shared" si="76"/>
        <v>0</v>
      </c>
      <c r="AW314" s="2">
        <f t="shared" si="76"/>
        <v>0</v>
      </c>
      <c r="AX314" s="2">
        <f t="shared" si="76"/>
        <v>0</v>
      </c>
      <c r="AY314" s="2">
        <f t="shared" si="76"/>
        <v>0</v>
      </c>
      <c r="AZ314" s="2">
        <f t="shared" si="76"/>
        <v>0</v>
      </c>
      <c r="BA314" s="2">
        <f t="shared" si="76"/>
        <v>0</v>
      </c>
      <c r="BB314" s="2">
        <f t="shared" si="76"/>
        <v>0</v>
      </c>
      <c r="BC314" s="2">
        <f t="shared" si="76"/>
        <v>0</v>
      </c>
    </row>
    <row r="315" spans="22:55">
      <c r="V315" s="946" t="s">
        <v>1620</v>
      </c>
      <c r="W315" s="982" t="s">
        <v>2510</v>
      </c>
      <c r="X315" s="982">
        <v>7.5</v>
      </c>
      <c r="Y315" s="983" t="s">
        <v>2511</v>
      </c>
      <c r="Z315" s="982">
        <v>13.5</v>
      </c>
      <c r="AA315" s="955"/>
      <c r="AN315" s="2">
        <v>17</v>
      </c>
      <c r="AO315" s="891">
        <f t="shared" si="76"/>
        <v>3246.9250000000002</v>
      </c>
      <c r="AP315" s="891">
        <f t="shared" si="76"/>
        <v>0.39274999999999999</v>
      </c>
      <c r="AQ315" s="835">
        <f t="shared" si="76"/>
        <v>0</v>
      </c>
      <c r="AR315" s="891">
        <f t="shared" si="76"/>
        <v>258.52499999999998</v>
      </c>
      <c r="AS315" s="891">
        <f t="shared" si="76"/>
        <v>5.1000000000000004E-2</v>
      </c>
      <c r="AT315" s="2">
        <f t="shared" si="76"/>
        <v>0</v>
      </c>
      <c r="AU315" s="2">
        <f t="shared" si="76"/>
        <v>0</v>
      </c>
      <c r="AV315" s="2">
        <f t="shared" si="76"/>
        <v>0</v>
      </c>
      <c r="AW315" s="2">
        <f t="shared" si="76"/>
        <v>0</v>
      </c>
      <c r="AX315" s="2">
        <f t="shared" si="76"/>
        <v>0</v>
      </c>
      <c r="AY315" s="2">
        <f t="shared" si="76"/>
        <v>0</v>
      </c>
      <c r="AZ315" s="2">
        <f t="shared" si="76"/>
        <v>0</v>
      </c>
      <c r="BA315" s="2">
        <f t="shared" si="76"/>
        <v>0</v>
      </c>
      <c r="BB315" s="2">
        <f t="shared" si="76"/>
        <v>0</v>
      </c>
      <c r="BC315" s="2">
        <f t="shared" si="76"/>
        <v>0</v>
      </c>
    </row>
    <row r="316" spans="22:55" ht="29">
      <c r="V316" s="946" t="s">
        <v>1621</v>
      </c>
      <c r="W316" s="982" t="s">
        <v>2512</v>
      </c>
      <c r="X316" s="982">
        <v>7.5</v>
      </c>
      <c r="Y316" s="983" t="s">
        <v>2513</v>
      </c>
      <c r="Z316" s="982">
        <v>13.5</v>
      </c>
      <c r="AA316" s="955"/>
      <c r="AN316" s="2">
        <v>18</v>
      </c>
      <c r="AO316" s="891">
        <f t="shared" si="76"/>
        <v>3290.0124999999998</v>
      </c>
      <c r="AP316" s="891">
        <f t="shared" si="76"/>
        <v>0.40137499999999998</v>
      </c>
      <c r="AQ316" s="835">
        <f t="shared" si="76"/>
        <v>0</v>
      </c>
      <c r="AR316" s="891">
        <f t="shared" si="76"/>
        <v>301.61250000000001</v>
      </c>
      <c r="AS316" s="891">
        <f t="shared" si="76"/>
        <v>5.9500000000000004E-2</v>
      </c>
      <c r="AT316" s="2">
        <f t="shared" si="76"/>
        <v>0</v>
      </c>
      <c r="AU316" s="2">
        <f t="shared" si="76"/>
        <v>0</v>
      </c>
      <c r="AV316" s="2">
        <f t="shared" si="76"/>
        <v>0</v>
      </c>
      <c r="AW316" s="2">
        <f t="shared" si="76"/>
        <v>0</v>
      </c>
      <c r="AX316" s="2">
        <f t="shared" si="76"/>
        <v>0</v>
      </c>
      <c r="AY316" s="2">
        <f t="shared" si="76"/>
        <v>0</v>
      </c>
      <c r="AZ316" s="2">
        <f t="shared" si="76"/>
        <v>0</v>
      </c>
      <c r="BA316" s="2">
        <f t="shared" si="76"/>
        <v>0</v>
      </c>
      <c r="BB316" s="2">
        <f t="shared" si="76"/>
        <v>0</v>
      </c>
      <c r="BC316" s="2">
        <f t="shared" si="76"/>
        <v>0</v>
      </c>
    </row>
    <row r="317" spans="22:55">
      <c r="V317" s="946" t="s">
        <v>2514</v>
      </c>
      <c r="W317" s="982" t="s">
        <v>2515</v>
      </c>
      <c r="X317" s="982">
        <v>7.5</v>
      </c>
      <c r="Y317" s="983" t="s">
        <v>2511</v>
      </c>
      <c r="Z317" s="982">
        <v>13.5</v>
      </c>
      <c r="AA317" s="955"/>
      <c r="AN317" s="2">
        <v>19</v>
      </c>
      <c r="AO317" s="891">
        <v>3333.1</v>
      </c>
      <c r="AP317" s="897">
        <v>0.41</v>
      </c>
      <c r="AQ317" s="898">
        <v>0</v>
      </c>
      <c r="AR317" s="891">
        <v>344.7</v>
      </c>
      <c r="AS317" s="897">
        <v>6.8000000000000005E-2</v>
      </c>
      <c r="AT317" s="874">
        <v>0</v>
      </c>
      <c r="AU317" s="874">
        <v>0</v>
      </c>
      <c r="AV317" s="874">
        <v>0</v>
      </c>
      <c r="AW317" s="874">
        <v>0</v>
      </c>
      <c r="AX317" s="874">
        <v>0</v>
      </c>
      <c r="AY317" s="874">
        <v>0</v>
      </c>
      <c r="AZ317" s="874">
        <v>0</v>
      </c>
      <c r="BA317" s="874">
        <v>0</v>
      </c>
      <c r="BB317" s="874">
        <v>0</v>
      </c>
      <c r="BC317" s="874">
        <v>0</v>
      </c>
    </row>
    <row r="318" spans="22:55">
      <c r="V318" s="946" t="s">
        <v>1623</v>
      </c>
      <c r="W318" s="982" t="s">
        <v>2510</v>
      </c>
      <c r="X318" s="982">
        <v>7.5</v>
      </c>
      <c r="Y318" s="983" t="s">
        <v>2511</v>
      </c>
      <c r="Z318" s="982">
        <v>13.5</v>
      </c>
      <c r="AA318" s="955"/>
      <c r="AN318" s="2">
        <v>20</v>
      </c>
      <c r="AO318" s="891">
        <f t="shared" ref="AO318:BC327" si="77">((($AN318-$AN$317)*(AO$328-AO$317))/($AN$328-$AN$317))+AO$317</f>
        <v>3350.8454545454547</v>
      </c>
      <c r="AP318" s="891">
        <f t="shared" si="77"/>
        <v>0.41463636363636364</v>
      </c>
      <c r="AQ318" s="835">
        <f t="shared" si="77"/>
        <v>0</v>
      </c>
      <c r="AR318" s="891">
        <f t="shared" si="77"/>
        <v>362.44545454545454</v>
      </c>
      <c r="AS318" s="891">
        <f t="shared" si="77"/>
        <v>7.2636363636363638E-2</v>
      </c>
      <c r="AT318" s="835">
        <f t="shared" si="77"/>
        <v>0</v>
      </c>
      <c r="AU318" s="891">
        <f t="shared" si="77"/>
        <v>17.745454545454546</v>
      </c>
      <c r="AV318" s="891">
        <f t="shared" si="77"/>
        <v>4.6363636363636364E-3</v>
      </c>
      <c r="AW318" s="835">
        <f t="shared" si="77"/>
        <v>0</v>
      </c>
      <c r="AX318" s="835">
        <f t="shared" si="77"/>
        <v>0</v>
      </c>
      <c r="AY318" s="835">
        <f t="shared" si="77"/>
        <v>0</v>
      </c>
      <c r="AZ318" s="835">
        <f t="shared" si="77"/>
        <v>0</v>
      </c>
      <c r="BA318" s="835">
        <f t="shared" si="77"/>
        <v>0</v>
      </c>
      <c r="BB318" s="835">
        <f t="shared" si="77"/>
        <v>0</v>
      </c>
      <c r="BC318" s="835">
        <f t="shared" si="77"/>
        <v>0</v>
      </c>
    </row>
    <row r="319" spans="22:55" ht="29">
      <c r="V319" s="946" t="s">
        <v>2516</v>
      </c>
      <c r="W319" s="982" t="s">
        <v>2509</v>
      </c>
      <c r="X319" s="982">
        <v>5</v>
      </c>
      <c r="Y319" s="983" t="s">
        <v>2508</v>
      </c>
      <c r="Z319" s="982">
        <v>12</v>
      </c>
      <c r="AA319" s="955"/>
      <c r="AN319" s="2">
        <v>21</v>
      </c>
      <c r="AO319" s="891">
        <f t="shared" si="77"/>
        <v>3368.590909090909</v>
      </c>
      <c r="AP319" s="891">
        <f t="shared" si="77"/>
        <v>0.41927272727272724</v>
      </c>
      <c r="AQ319" s="835">
        <f t="shared" si="77"/>
        <v>0</v>
      </c>
      <c r="AR319" s="891">
        <f t="shared" si="77"/>
        <v>380.19090909090909</v>
      </c>
      <c r="AS319" s="891">
        <f t="shared" si="77"/>
        <v>7.7272727272727271E-2</v>
      </c>
      <c r="AT319" s="835">
        <f t="shared" si="77"/>
        <v>0</v>
      </c>
      <c r="AU319" s="891">
        <f t="shared" si="77"/>
        <v>35.490909090909092</v>
      </c>
      <c r="AV319" s="891">
        <f t="shared" si="77"/>
        <v>9.2727272727272728E-3</v>
      </c>
      <c r="AW319" s="835">
        <f t="shared" si="77"/>
        <v>0</v>
      </c>
      <c r="AX319" s="835">
        <f t="shared" si="77"/>
        <v>0</v>
      </c>
      <c r="AY319" s="835">
        <f t="shared" si="77"/>
        <v>0</v>
      </c>
      <c r="AZ319" s="835">
        <f t="shared" si="77"/>
        <v>0</v>
      </c>
      <c r="BA319" s="835">
        <f t="shared" si="77"/>
        <v>0</v>
      </c>
      <c r="BB319" s="835">
        <f t="shared" si="77"/>
        <v>0</v>
      </c>
      <c r="BC319" s="835">
        <f t="shared" si="77"/>
        <v>0</v>
      </c>
    </row>
    <row r="320" spans="22:55" ht="29">
      <c r="V320" s="946" t="s">
        <v>1625</v>
      </c>
      <c r="W320" s="982" t="s">
        <v>2517</v>
      </c>
      <c r="X320" s="982">
        <v>5</v>
      </c>
      <c r="Y320" s="983" t="s">
        <v>2500</v>
      </c>
      <c r="Z320" s="982">
        <v>12</v>
      </c>
      <c r="AA320" s="955"/>
      <c r="AN320" s="2">
        <v>22</v>
      </c>
      <c r="AO320" s="891">
        <f t="shared" si="77"/>
        <v>3386.3363636363638</v>
      </c>
      <c r="AP320" s="891">
        <f t="shared" si="77"/>
        <v>0.4239090909090909</v>
      </c>
      <c r="AQ320" s="835">
        <f t="shared" si="77"/>
        <v>0</v>
      </c>
      <c r="AR320" s="891">
        <f t="shared" si="77"/>
        <v>397.93636363636364</v>
      </c>
      <c r="AS320" s="891">
        <f t="shared" si="77"/>
        <v>8.1909090909090904E-2</v>
      </c>
      <c r="AT320" s="835">
        <f t="shared" si="77"/>
        <v>0</v>
      </c>
      <c r="AU320" s="891">
        <f t="shared" si="77"/>
        <v>53.236363636363627</v>
      </c>
      <c r="AV320" s="891">
        <f t="shared" si="77"/>
        <v>1.3909090909090909E-2</v>
      </c>
      <c r="AW320" s="835">
        <f t="shared" si="77"/>
        <v>0</v>
      </c>
      <c r="AX320" s="835">
        <f t="shared" si="77"/>
        <v>0</v>
      </c>
      <c r="AY320" s="835">
        <f t="shared" si="77"/>
        <v>0</v>
      </c>
      <c r="AZ320" s="835">
        <f t="shared" si="77"/>
        <v>0</v>
      </c>
      <c r="BA320" s="835">
        <f t="shared" si="77"/>
        <v>0</v>
      </c>
      <c r="BB320" s="835">
        <f t="shared" si="77"/>
        <v>0</v>
      </c>
      <c r="BC320" s="835">
        <f t="shared" si="77"/>
        <v>0</v>
      </c>
    </row>
    <row r="321" spans="22:55" ht="29">
      <c r="V321" s="946" t="s">
        <v>2518</v>
      </c>
      <c r="W321" s="982" t="s">
        <v>2519</v>
      </c>
      <c r="X321" s="972" t="s">
        <v>2520</v>
      </c>
      <c r="Y321" s="982"/>
      <c r="Z321" s="982"/>
      <c r="AA321" s="955"/>
      <c r="AN321" s="2">
        <v>23</v>
      </c>
      <c r="AO321" s="891">
        <f t="shared" si="77"/>
        <v>3404.0818181818181</v>
      </c>
      <c r="AP321" s="891">
        <f t="shared" si="77"/>
        <v>0.42854545454545456</v>
      </c>
      <c r="AQ321" s="835">
        <f t="shared" si="77"/>
        <v>0</v>
      </c>
      <c r="AR321" s="891">
        <f t="shared" si="77"/>
        <v>415.68181818181819</v>
      </c>
      <c r="AS321" s="891">
        <f t="shared" si="77"/>
        <v>8.654545454545455E-2</v>
      </c>
      <c r="AT321" s="835">
        <f t="shared" si="77"/>
        <v>0</v>
      </c>
      <c r="AU321" s="891">
        <f t="shared" si="77"/>
        <v>70.981818181818184</v>
      </c>
      <c r="AV321" s="891">
        <f t="shared" si="77"/>
        <v>1.8545454545454546E-2</v>
      </c>
      <c r="AW321" s="835">
        <f t="shared" si="77"/>
        <v>0</v>
      </c>
      <c r="AX321" s="835">
        <f t="shared" si="77"/>
        <v>0</v>
      </c>
      <c r="AY321" s="835">
        <f t="shared" si="77"/>
        <v>0</v>
      </c>
      <c r="AZ321" s="835">
        <f t="shared" si="77"/>
        <v>0</v>
      </c>
      <c r="BA321" s="835">
        <f t="shared" si="77"/>
        <v>0</v>
      </c>
      <c r="BB321" s="835">
        <f t="shared" si="77"/>
        <v>0</v>
      </c>
      <c r="BC321" s="835">
        <f t="shared" si="77"/>
        <v>0</v>
      </c>
    </row>
    <row r="322" spans="22:55" ht="29">
      <c r="V322" s="946" t="s">
        <v>1627</v>
      </c>
      <c r="W322" s="982" t="s">
        <v>2521</v>
      </c>
      <c r="X322" s="982">
        <v>5</v>
      </c>
      <c r="Y322" s="983" t="s">
        <v>2500</v>
      </c>
      <c r="Z322" s="982">
        <v>12</v>
      </c>
      <c r="AA322" s="955"/>
      <c r="AN322" s="2">
        <v>24</v>
      </c>
      <c r="AO322" s="891">
        <f t="shared" si="77"/>
        <v>3421.8272727272729</v>
      </c>
      <c r="AP322" s="891">
        <f t="shared" si="77"/>
        <v>0.43318181818181817</v>
      </c>
      <c r="AQ322" s="835">
        <f t="shared" si="77"/>
        <v>0</v>
      </c>
      <c r="AR322" s="891">
        <f t="shared" si="77"/>
        <v>433.42727272727274</v>
      </c>
      <c r="AS322" s="891">
        <f t="shared" si="77"/>
        <v>9.1181818181818183E-2</v>
      </c>
      <c r="AT322" s="835">
        <f t="shared" si="77"/>
        <v>0</v>
      </c>
      <c r="AU322" s="891">
        <f t="shared" si="77"/>
        <v>88.727272727272734</v>
      </c>
      <c r="AV322" s="891">
        <f t="shared" si="77"/>
        <v>2.3181818181818182E-2</v>
      </c>
      <c r="AW322" s="835">
        <f t="shared" si="77"/>
        <v>0</v>
      </c>
      <c r="AX322" s="835">
        <f t="shared" si="77"/>
        <v>0</v>
      </c>
      <c r="AY322" s="835">
        <f t="shared" si="77"/>
        <v>0</v>
      </c>
      <c r="AZ322" s="835">
        <f t="shared" si="77"/>
        <v>0</v>
      </c>
      <c r="BA322" s="835">
        <f t="shared" si="77"/>
        <v>0</v>
      </c>
      <c r="BB322" s="835">
        <f t="shared" si="77"/>
        <v>0</v>
      </c>
      <c r="BC322" s="835">
        <f t="shared" si="77"/>
        <v>0</v>
      </c>
    </row>
    <row r="323" spans="22:55" ht="29">
      <c r="V323" s="946" t="s">
        <v>1628</v>
      </c>
      <c r="W323" s="982" t="s">
        <v>2522</v>
      </c>
      <c r="X323" s="982">
        <v>5</v>
      </c>
      <c r="Y323" s="983" t="s">
        <v>2500</v>
      </c>
      <c r="Z323" s="982">
        <v>12</v>
      </c>
      <c r="AA323" s="955"/>
      <c r="AN323" s="2">
        <v>25</v>
      </c>
      <c r="AO323" s="891">
        <f t="shared" si="77"/>
        <v>3439.5727272727272</v>
      </c>
      <c r="AP323" s="891">
        <f t="shared" si="77"/>
        <v>0.43781818181818183</v>
      </c>
      <c r="AQ323" s="835">
        <f t="shared" si="77"/>
        <v>0</v>
      </c>
      <c r="AR323" s="891">
        <f t="shared" si="77"/>
        <v>451.17272727272723</v>
      </c>
      <c r="AS323" s="891">
        <f t="shared" si="77"/>
        <v>9.5818181818181816E-2</v>
      </c>
      <c r="AT323" s="835">
        <f t="shared" si="77"/>
        <v>0</v>
      </c>
      <c r="AU323" s="891">
        <f t="shared" si="77"/>
        <v>106.47272727272725</v>
      </c>
      <c r="AV323" s="891">
        <f t="shared" si="77"/>
        <v>2.7818181818181818E-2</v>
      </c>
      <c r="AW323" s="835">
        <f t="shared" si="77"/>
        <v>0</v>
      </c>
      <c r="AX323" s="835">
        <f t="shared" si="77"/>
        <v>0</v>
      </c>
      <c r="AY323" s="835">
        <f t="shared" si="77"/>
        <v>0</v>
      </c>
      <c r="AZ323" s="835">
        <f t="shared" si="77"/>
        <v>0</v>
      </c>
      <c r="BA323" s="835">
        <f t="shared" si="77"/>
        <v>0</v>
      </c>
      <c r="BB323" s="835">
        <f t="shared" si="77"/>
        <v>0</v>
      </c>
      <c r="BC323" s="835">
        <f t="shared" si="77"/>
        <v>0</v>
      </c>
    </row>
    <row r="324" spans="22:55" ht="29">
      <c r="V324" s="946" t="s">
        <v>1629</v>
      </c>
      <c r="W324" s="982" t="s">
        <v>2507</v>
      </c>
      <c r="X324" s="982">
        <v>5</v>
      </c>
      <c r="Y324" s="983" t="s">
        <v>2500</v>
      </c>
      <c r="Z324" s="982">
        <v>12</v>
      </c>
      <c r="AA324" s="955"/>
      <c r="AN324" s="2">
        <v>26</v>
      </c>
      <c r="AO324" s="891">
        <f t="shared" si="77"/>
        <v>3457.318181818182</v>
      </c>
      <c r="AP324" s="891">
        <f t="shared" si="77"/>
        <v>0.44245454545454543</v>
      </c>
      <c r="AQ324" s="835">
        <f t="shared" si="77"/>
        <v>0</v>
      </c>
      <c r="AR324" s="891">
        <f t="shared" si="77"/>
        <v>468.91818181818178</v>
      </c>
      <c r="AS324" s="891">
        <f t="shared" si="77"/>
        <v>0.10045454545454546</v>
      </c>
      <c r="AT324" s="835">
        <f t="shared" si="77"/>
        <v>0</v>
      </c>
      <c r="AU324" s="891">
        <f t="shared" si="77"/>
        <v>124.2181818181818</v>
      </c>
      <c r="AV324" s="891">
        <f t="shared" si="77"/>
        <v>3.2454545454545451E-2</v>
      </c>
      <c r="AW324" s="835">
        <f t="shared" si="77"/>
        <v>0</v>
      </c>
      <c r="AX324" s="835">
        <f t="shared" si="77"/>
        <v>0</v>
      </c>
      <c r="AY324" s="835">
        <f t="shared" si="77"/>
        <v>0</v>
      </c>
      <c r="AZ324" s="835">
        <f t="shared" si="77"/>
        <v>0</v>
      </c>
      <c r="BA324" s="835">
        <f t="shared" si="77"/>
        <v>0</v>
      </c>
      <c r="BB324" s="835">
        <f t="shared" si="77"/>
        <v>0</v>
      </c>
      <c r="BC324" s="835">
        <f t="shared" si="77"/>
        <v>0</v>
      </c>
    </row>
    <row r="325" spans="22:55" ht="29">
      <c r="V325" s="946" t="s">
        <v>1630</v>
      </c>
      <c r="W325" s="982" t="s">
        <v>2523</v>
      </c>
      <c r="X325" s="982">
        <v>7.5</v>
      </c>
      <c r="Y325" s="983" t="s">
        <v>2500</v>
      </c>
      <c r="Z325" s="982">
        <v>13.5</v>
      </c>
      <c r="AA325" s="955"/>
      <c r="AN325" s="2">
        <v>27</v>
      </c>
      <c r="AO325" s="891">
        <f t="shared" si="77"/>
        <v>3475.0636363636363</v>
      </c>
      <c r="AP325" s="891">
        <f t="shared" si="77"/>
        <v>0.44709090909090909</v>
      </c>
      <c r="AQ325" s="835">
        <f t="shared" si="77"/>
        <v>0</v>
      </c>
      <c r="AR325" s="891">
        <f t="shared" si="77"/>
        <v>486.66363636363633</v>
      </c>
      <c r="AS325" s="891">
        <f t="shared" si="77"/>
        <v>0.1050909090909091</v>
      </c>
      <c r="AT325" s="835">
        <f t="shared" si="77"/>
        <v>0</v>
      </c>
      <c r="AU325" s="891">
        <f t="shared" si="77"/>
        <v>141.96363636363637</v>
      </c>
      <c r="AV325" s="891">
        <f t="shared" si="77"/>
        <v>3.7090909090909091E-2</v>
      </c>
      <c r="AW325" s="835">
        <f t="shared" si="77"/>
        <v>0</v>
      </c>
      <c r="AX325" s="835">
        <f t="shared" si="77"/>
        <v>0</v>
      </c>
      <c r="AY325" s="835">
        <f t="shared" si="77"/>
        <v>0</v>
      </c>
      <c r="AZ325" s="835">
        <f t="shared" si="77"/>
        <v>0</v>
      </c>
      <c r="BA325" s="835">
        <f t="shared" si="77"/>
        <v>0</v>
      </c>
      <c r="BB325" s="835">
        <f t="shared" si="77"/>
        <v>0</v>
      </c>
      <c r="BC325" s="835">
        <f t="shared" si="77"/>
        <v>0</v>
      </c>
    </row>
    <row r="326" spans="22:55" ht="29">
      <c r="V326" s="946" t="s">
        <v>1631</v>
      </c>
      <c r="W326" s="982" t="s">
        <v>2499</v>
      </c>
      <c r="X326" s="982">
        <v>5</v>
      </c>
      <c r="Y326" s="983" t="s">
        <v>2513</v>
      </c>
      <c r="Z326" s="982">
        <v>12</v>
      </c>
      <c r="AA326" s="955"/>
      <c r="AN326" s="2">
        <v>28</v>
      </c>
      <c r="AO326" s="891">
        <f t="shared" si="77"/>
        <v>3492.8090909090911</v>
      </c>
      <c r="AP326" s="891">
        <f t="shared" si="77"/>
        <v>0.45172727272727276</v>
      </c>
      <c r="AQ326" s="835">
        <f t="shared" si="77"/>
        <v>0</v>
      </c>
      <c r="AR326" s="891">
        <f t="shared" si="77"/>
        <v>504.40909090909088</v>
      </c>
      <c r="AS326" s="891">
        <f t="shared" si="77"/>
        <v>0.10972727272727273</v>
      </c>
      <c r="AT326" s="835">
        <f t="shared" si="77"/>
        <v>0</v>
      </c>
      <c r="AU326" s="891">
        <f t="shared" si="77"/>
        <v>159.70909090909092</v>
      </c>
      <c r="AV326" s="891">
        <f t="shared" si="77"/>
        <v>4.1727272727272724E-2</v>
      </c>
      <c r="AW326" s="835">
        <f t="shared" si="77"/>
        <v>0</v>
      </c>
      <c r="AX326" s="835">
        <f t="shared" si="77"/>
        <v>0</v>
      </c>
      <c r="AY326" s="835">
        <f t="shared" si="77"/>
        <v>0</v>
      </c>
      <c r="AZ326" s="835">
        <f t="shared" si="77"/>
        <v>0</v>
      </c>
      <c r="BA326" s="835">
        <f t="shared" si="77"/>
        <v>0</v>
      </c>
      <c r="BB326" s="835">
        <f t="shared" si="77"/>
        <v>0</v>
      </c>
      <c r="BC326" s="835">
        <f t="shared" si="77"/>
        <v>0</v>
      </c>
    </row>
    <row r="327" spans="22:55">
      <c r="AN327" s="2">
        <v>29</v>
      </c>
      <c r="AO327" s="891">
        <f t="shared" si="77"/>
        <v>3510.5545454545454</v>
      </c>
      <c r="AP327" s="891">
        <f t="shared" si="77"/>
        <v>0.45636363636363636</v>
      </c>
      <c r="AQ327" s="835">
        <f t="shared" si="77"/>
        <v>0</v>
      </c>
      <c r="AR327" s="891">
        <f t="shared" si="77"/>
        <v>522.15454545454543</v>
      </c>
      <c r="AS327" s="891">
        <f t="shared" si="77"/>
        <v>0.11436363636363636</v>
      </c>
      <c r="AT327" s="835">
        <f t="shared" si="77"/>
        <v>0</v>
      </c>
      <c r="AU327" s="891">
        <f t="shared" si="77"/>
        <v>177.45454545454547</v>
      </c>
      <c r="AV327" s="891">
        <f t="shared" si="77"/>
        <v>4.6363636363636364E-2</v>
      </c>
      <c r="AW327" s="835">
        <f t="shared" si="77"/>
        <v>0</v>
      </c>
      <c r="AX327" s="835">
        <f t="shared" si="77"/>
        <v>0</v>
      </c>
      <c r="AY327" s="835">
        <f t="shared" si="77"/>
        <v>0</v>
      </c>
      <c r="AZ327" s="835">
        <f t="shared" si="77"/>
        <v>0</v>
      </c>
      <c r="BA327" s="835">
        <f t="shared" si="77"/>
        <v>0</v>
      </c>
      <c r="BB327" s="835">
        <f t="shared" si="77"/>
        <v>0</v>
      </c>
      <c r="BC327" s="835">
        <f t="shared" si="77"/>
        <v>0</v>
      </c>
    </row>
    <row r="328" spans="22:55">
      <c r="AN328" s="2">
        <v>30</v>
      </c>
      <c r="AO328" s="2">
        <v>3528.3</v>
      </c>
      <c r="AP328" s="873">
        <v>0.46100000000000002</v>
      </c>
      <c r="AQ328" s="874">
        <v>0</v>
      </c>
      <c r="AR328" s="2">
        <v>539.9</v>
      </c>
      <c r="AS328" s="873">
        <v>0.11899999999999999</v>
      </c>
      <c r="AT328" s="874">
        <v>0</v>
      </c>
      <c r="AU328" s="2">
        <v>195.2</v>
      </c>
      <c r="AV328" s="873">
        <v>5.0999999999999997E-2</v>
      </c>
      <c r="AW328" s="874">
        <v>0</v>
      </c>
      <c r="AX328" s="874">
        <v>0</v>
      </c>
      <c r="AY328" s="874">
        <v>0</v>
      </c>
      <c r="AZ328" s="874">
        <v>0</v>
      </c>
      <c r="BA328" s="874">
        <v>0</v>
      </c>
      <c r="BB328" s="874">
        <v>0</v>
      </c>
      <c r="BC328" s="874">
        <v>0</v>
      </c>
    </row>
    <row r="329" spans="22:55">
      <c r="AN329" s="2">
        <v>31</v>
      </c>
      <c r="AO329" s="2">
        <f t="shared" ref="AO329:BC335" si="78">((($AN329-$AN$328)*(AO$336-AO$328))/($AN$336-$AN$328))+AO$328</f>
        <v>3537.8125</v>
      </c>
      <c r="AP329" s="2">
        <f t="shared" si="78"/>
        <v>0.46312500000000001</v>
      </c>
      <c r="AQ329" s="2">
        <f t="shared" si="78"/>
        <v>0</v>
      </c>
      <c r="AR329" s="2">
        <f t="shared" si="78"/>
        <v>549.41250000000002</v>
      </c>
      <c r="AS329" s="2">
        <f t="shared" si="78"/>
        <v>0.12125</v>
      </c>
      <c r="AT329" s="2">
        <f t="shared" si="78"/>
        <v>0</v>
      </c>
      <c r="AU329" s="2">
        <f t="shared" si="78"/>
        <v>204.71249999999998</v>
      </c>
      <c r="AV329" s="2">
        <f t="shared" si="78"/>
        <v>5.3124999999999999E-2</v>
      </c>
      <c r="AW329" s="2">
        <f t="shared" si="78"/>
        <v>0</v>
      </c>
      <c r="AX329" s="2">
        <f t="shared" si="78"/>
        <v>9.5124999999999993</v>
      </c>
      <c r="AY329" s="2">
        <f t="shared" si="78"/>
        <v>2.1250000000000002E-3</v>
      </c>
      <c r="AZ329" s="2">
        <f t="shared" si="78"/>
        <v>0</v>
      </c>
      <c r="BA329" s="2">
        <f t="shared" si="78"/>
        <v>0</v>
      </c>
      <c r="BB329" s="2">
        <f t="shared" si="78"/>
        <v>0</v>
      </c>
      <c r="BC329" s="2">
        <f t="shared" si="78"/>
        <v>0</v>
      </c>
    </row>
    <row r="330" spans="22:55">
      <c r="AN330" s="2">
        <v>32</v>
      </c>
      <c r="AO330" s="2">
        <f t="shared" si="78"/>
        <v>3547.3250000000003</v>
      </c>
      <c r="AP330" s="2">
        <f t="shared" si="78"/>
        <v>0.46525</v>
      </c>
      <c r="AQ330" s="2">
        <f t="shared" si="78"/>
        <v>0</v>
      </c>
      <c r="AR330" s="2">
        <f t="shared" si="78"/>
        <v>558.92499999999995</v>
      </c>
      <c r="AS330" s="2">
        <f t="shared" si="78"/>
        <v>0.1235</v>
      </c>
      <c r="AT330" s="2">
        <f t="shared" si="78"/>
        <v>0</v>
      </c>
      <c r="AU330" s="2">
        <f t="shared" si="78"/>
        <v>214.22499999999999</v>
      </c>
      <c r="AV330" s="2">
        <f t="shared" si="78"/>
        <v>5.525E-2</v>
      </c>
      <c r="AW330" s="2">
        <f t="shared" si="78"/>
        <v>0</v>
      </c>
      <c r="AX330" s="2">
        <f t="shared" si="78"/>
        <v>19.024999999999999</v>
      </c>
      <c r="AY330" s="2">
        <f t="shared" si="78"/>
        <v>4.2500000000000003E-3</v>
      </c>
      <c r="AZ330" s="2">
        <f t="shared" si="78"/>
        <v>0</v>
      </c>
      <c r="BA330" s="2">
        <f t="shared" si="78"/>
        <v>0</v>
      </c>
      <c r="BB330" s="2">
        <f t="shared" si="78"/>
        <v>0</v>
      </c>
      <c r="BC330" s="2">
        <f t="shared" si="78"/>
        <v>0</v>
      </c>
    </row>
    <row r="331" spans="22:55">
      <c r="AN331" s="2">
        <v>33</v>
      </c>
      <c r="AO331" s="2">
        <f t="shared" si="78"/>
        <v>3556.8375000000001</v>
      </c>
      <c r="AP331" s="2">
        <f t="shared" si="78"/>
        <v>0.46737499999999998</v>
      </c>
      <c r="AQ331" s="2">
        <f t="shared" si="78"/>
        <v>0</v>
      </c>
      <c r="AR331" s="2">
        <f t="shared" si="78"/>
        <v>568.4375</v>
      </c>
      <c r="AS331" s="2">
        <f t="shared" si="78"/>
        <v>0.12575</v>
      </c>
      <c r="AT331" s="2">
        <f t="shared" si="78"/>
        <v>0</v>
      </c>
      <c r="AU331" s="2">
        <f t="shared" si="78"/>
        <v>223.73750000000001</v>
      </c>
      <c r="AV331" s="2">
        <f t="shared" si="78"/>
        <v>5.7375000000000002E-2</v>
      </c>
      <c r="AW331" s="2">
        <f t="shared" si="78"/>
        <v>0</v>
      </c>
      <c r="AX331" s="2">
        <f t="shared" si="78"/>
        <v>28.537499999999998</v>
      </c>
      <c r="AY331" s="2">
        <f t="shared" si="78"/>
        <v>6.3750000000000005E-3</v>
      </c>
      <c r="AZ331" s="2">
        <f t="shared" si="78"/>
        <v>0</v>
      </c>
      <c r="BA331" s="2">
        <f t="shared" si="78"/>
        <v>0</v>
      </c>
      <c r="BB331" s="2">
        <f t="shared" si="78"/>
        <v>0</v>
      </c>
      <c r="BC331" s="2">
        <f t="shared" si="78"/>
        <v>0</v>
      </c>
    </row>
    <row r="332" spans="22:55">
      <c r="AN332" s="2">
        <v>34</v>
      </c>
      <c r="AO332" s="2">
        <f t="shared" si="78"/>
        <v>3566.3500000000004</v>
      </c>
      <c r="AP332" s="2">
        <f t="shared" si="78"/>
        <v>0.46950000000000003</v>
      </c>
      <c r="AQ332" s="2">
        <f t="shared" si="78"/>
        <v>0</v>
      </c>
      <c r="AR332" s="2">
        <f t="shared" si="78"/>
        <v>577.95000000000005</v>
      </c>
      <c r="AS332" s="2">
        <f t="shared" si="78"/>
        <v>0.128</v>
      </c>
      <c r="AT332" s="2">
        <f t="shared" si="78"/>
        <v>0</v>
      </c>
      <c r="AU332" s="2">
        <f t="shared" si="78"/>
        <v>233.25</v>
      </c>
      <c r="AV332" s="2">
        <f t="shared" si="78"/>
        <v>5.9499999999999997E-2</v>
      </c>
      <c r="AW332" s="2">
        <f t="shared" si="78"/>
        <v>0</v>
      </c>
      <c r="AX332" s="2">
        <f t="shared" si="78"/>
        <v>38.049999999999997</v>
      </c>
      <c r="AY332" s="2">
        <f t="shared" si="78"/>
        <v>8.5000000000000006E-3</v>
      </c>
      <c r="AZ332" s="2">
        <f t="shared" si="78"/>
        <v>0</v>
      </c>
      <c r="BA332" s="2">
        <f t="shared" si="78"/>
        <v>0</v>
      </c>
      <c r="BB332" s="2">
        <f t="shared" si="78"/>
        <v>0</v>
      </c>
      <c r="BC332" s="2">
        <f t="shared" si="78"/>
        <v>0</v>
      </c>
    </row>
    <row r="333" spans="22:55">
      <c r="AN333" s="2">
        <v>35</v>
      </c>
      <c r="AO333" s="2">
        <f t="shared" si="78"/>
        <v>3575.8625000000002</v>
      </c>
      <c r="AP333" s="2">
        <f t="shared" si="78"/>
        <v>0.47162500000000002</v>
      </c>
      <c r="AQ333" s="2">
        <f t="shared" si="78"/>
        <v>0</v>
      </c>
      <c r="AR333" s="2">
        <f t="shared" si="78"/>
        <v>587.46249999999998</v>
      </c>
      <c r="AS333" s="2">
        <f t="shared" si="78"/>
        <v>0.13025</v>
      </c>
      <c r="AT333" s="2">
        <f t="shared" si="78"/>
        <v>0</v>
      </c>
      <c r="AU333" s="2">
        <f t="shared" si="78"/>
        <v>242.76249999999999</v>
      </c>
      <c r="AV333" s="2">
        <f t="shared" si="78"/>
        <v>6.1624999999999999E-2</v>
      </c>
      <c r="AW333" s="2">
        <f t="shared" si="78"/>
        <v>0</v>
      </c>
      <c r="AX333" s="2">
        <f t="shared" si="78"/>
        <v>47.5625</v>
      </c>
      <c r="AY333" s="2">
        <f t="shared" si="78"/>
        <v>1.0625000000000001E-2</v>
      </c>
      <c r="AZ333" s="2">
        <f t="shared" si="78"/>
        <v>0</v>
      </c>
      <c r="BA333" s="2">
        <f t="shared" si="78"/>
        <v>0</v>
      </c>
      <c r="BB333" s="2">
        <f t="shared" si="78"/>
        <v>0</v>
      </c>
      <c r="BC333" s="2">
        <f t="shared" si="78"/>
        <v>0</v>
      </c>
    </row>
    <row r="334" spans="22:55">
      <c r="AN334" s="2">
        <v>36</v>
      </c>
      <c r="AO334" s="2">
        <f t="shared" si="78"/>
        <v>3585.375</v>
      </c>
      <c r="AP334" s="2">
        <f t="shared" si="78"/>
        <v>0.47375</v>
      </c>
      <c r="AQ334" s="2">
        <f t="shared" si="78"/>
        <v>0</v>
      </c>
      <c r="AR334" s="2">
        <f t="shared" si="78"/>
        <v>596.97500000000002</v>
      </c>
      <c r="AS334" s="2">
        <f t="shared" si="78"/>
        <v>0.13250000000000001</v>
      </c>
      <c r="AT334" s="2">
        <f t="shared" si="78"/>
        <v>0</v>
      </c>
      <c r="AU334" s="2">
        <f t="shared" si="78"/>
        <v>252.27500000000001</v>
      </c>
      <c r="AV334" s="2">
        <f t="shared" si="78"/>
        <v>6.3750000000000001E-2</v>
      </c>
      <c r="AW334" s="2">
        <f t="shared" si="78"/>
        <v>0</v>
      </c>
      <c r="AX334" s="2">
        <f t="shared" si="78"/>
        <v>57.074999999999996</v>
      </c>
      <c r="AY334" s="2">
        <f t="shared" si="78"/>
        <v>1.2750000000000001E-2</v>
      </c>
      <c r="AZ334" s="2">
        <f t="shared" si="78"/>
        <v>0</v>
      </c>
      <c r="BA334" s="2">
        <f t="shared" si="78"/>
        <v>0</v>
      </c>
      <c r="BB334" s="2">
        <f t="shared" si="78"/>
        <v>0</v>
      </c>
      <c r="BC334" s="2">
        <f t="shared" si="78"/>
        <v>0</v>
      </c>
    </row>
    <row r="335" spans="22:55">
      <c r="AN335" s="2">
        <v>37</v>
      </c>
      <c r="AO335" s="2">
        <f t="shared" si="78"/>
        <v>3594.8875000000003</v>
      </c>
      <c r="AP335" s="2">
        <f t="shared" si="78"/>
        <v>0.47587499999999999</v>
      </c>
      <c r="AQ335" s="2">
        <f t="shared" si="78"/>
        <v>0</v>
      </c>
      <c r="AR335" s="2">
        <f t="shared" si="78"/>
        <v>606.48749999999995</v>
      </c>
      <c r="AS335" s="2">
        <f t="shared" si="78"/>
        <v>0.13475000000000001</v>
      </c>
      <c r="AT335" s="2">
        <f t="shared" si="78"/>
        <v>0</v>
      </c>
      <c r="AU335" s="2">
        <f t="shared" si="78"/>
        <v>261.78750000000002</v>
      </c>
      <c r="AV335" s="2">
        <f t="shared" si="78"/>
        <v>6.5875000000000003E-2</v>
      </c>
      <c r="AW335" s="2">
        <f t="shared" si="78"/>
        <v>0</v>
      </c>
      <c r="AX335" s="2">
        <f t="shared" si="78"/>
        <v>66.587499999999991</v>
      </c>
      <c r="AY335" s="2">
        <f t="shared" si="78"/>
        <v>1.4875000000000001E-2</v>
      </c>
      <c r="AZ335" s="2">
        <f t="shared" si="78"/>
        <v>0</v>
      </c>
      <c r="BA335" s="2">
        <f t="shared" si="78"/>
        <v>0</v>
      </c>
      <c r="BB335" s="2">
        <f t="shared" si="78"/>
        <v>0</v>
      </c>
      <c r="BC335" s="2">
        <f t="shared" si="78"/>
        <v>0</v>
      </c>
    </row>
    <row r="336" spans="22:55">
      <c r="AN336" s="2">
        <v>38</v>
      </c>
      <c r="AO336" s="2">
        <v>3604.4</v>
      </c>
      <c r="AP336" s="873">
        <v>0.47799999999999998</v>
      </c>
      <c r="AQ336" s="874">
        <v>0</v>
      </c>
      <c r="AR336" s="2">
        <v>616</v>
      </c>
      <c r="AS336" s="873">
        <v>0.13700000000000001</v>
      </c>
      <c r="AT336" s="874">
        <v>0</v>
      </c>
      <c r="AU336" s="2">
        <v>271.3</v>
      </c>
      <c r="AV336" s="873">
        <v>6.8000000000000005E-2</v>
      </c>
      <c r="AW336" s="874">
        <v>0</v>
      </c>
      <c r="AX336" s="2">
        <v>76.099999999999994</v>
      </c>
      <c r="AY336" s="873">
        <v>1.7000000000000001E-2</v>
      </c>
      <c r="AZ336" s="874">
        <v>0</v>
      </c>
      <c r="BA336" s="874">
        <v>0</v>
      </c>
      <c r="BB336" s="874">
        <v>0</v>
      </c>
      <c r="BC336" s="874">
        <v>0</v>
      </c>
    </row>
    <row r="337" spans="18:55">
      <c r="AN337" s="2">
        <v>39</v>
      </c>
      <c r="AO337" s="891">
        <f t="shared" ref="AO337:BC346" si="79">((($AN337-$AN$336)*(AO$347-AO$336))/($AN$347-$AN$336))+AO$336</f>
        <v>3609.9909090909091</v>
      </c>
      <c r="AP337" s="891">
        <f t="shared" si="79"/>
        <v>0.47799999999999998</v>
      </c>
      <c r="AQ337" s="835">
        <f t="shared" si="79"/>
        <v>0</v>
      </c>
      <c r="AR337" s="891">
        <f t="shared" si="79"/>
        <v>621.59090909090912</v>
      </c>
      <c r="AS337" s="891">
        <f t="shared" si="79"/>
        <v>0.13700000000000001</v>
      </c>
      <c r="AT337" s="835">
        <f t="shared" si="79"/>
        <v>0</v>
      </c>
      <c r="AU337" s="891">
        <f t="shared" si="79"/>
        <v>276.89090909090908</v>
      </c>
      <c r="AV337" s="891">
        <f t="shared" si="79"/>
        <v>6.8000000000000005E-2</v>
      </c>
      <c r="AW337" s="835">
        <f t="shared" si="79"/>
        <v>0</v>
      </c>
      <c r="AX337" s="891">
        <f t="shared" si="79"/>
        <v>81.681818181818173</v>
      </c>
      <c r="AY337" s="891">
        <f t="shared" si="79"/>
        <v>1.7000000000000001E-2</v>
      </c>
      <c r="AZ337" s="835">
        <f t="shared" si="79"/>
        <v>0</v>
      </c>
      <c r="BA337" s="891">
        <f t="shared" si="79"/>
        <v>5.581818181818182</v>
      </c>
      <c r="BB337" s="835">
        <f t="shared" si="79"/>
        <v>0</v>
      </c>
      <c r="BC337" s="835">
        <f t="shared" si="79"/>
        <v>0</v>
      </c>
    </row>
    <row r="338" spans="18:55">
      <c r="AN338" s="2">
        <v>40</v>
      </c>
      <c r="AO338" s="891">
        <f t="shared" si="79"/>
        <v>3615.5818181818181</v>
      </c>
      <c r="AP338" s="891">
        <f t="shared" si="79"/>
        <v>0.47799999999999998</v>
      </c>
      <c r="AQ338" s="835">
        <f t="shared" si="79"/>
        <v>0</v>
      </c>
      <c r="AR338" s="891">
        <f t="shared" si="79"/>
        <v>627.18181818181813</v>
      </c>
      <c r="AS338" s="891">
        <f t="shared" si="79"/>
        <v>0.13700000000000001</v>
      </c>
      <c r="AT338" s="835">
        <f t="shared" si="79"/>
        <v>0</v>
      </c>
      <c r="AU338" s="891">
        <f t="shared" si="79"/>
        <v>282.4818181818182</v>
      </c>
      <c r="AV338" s="891">
        <f t="shared" si="79"/>
        <v>6.8000000000000005E-2</v>
      </c>
      <c r="AW338" s="835">
        <f t="shared" si="79"/>
        <v>0</v>
      </c>
      <c r="AX338" s="891">
        <f t="shared" si="79"/>
        <v>87.263636363636351</v>
      </c>
      <c r="AY338" s="891">
        <f t="shared" si="79"/>
        <v>1.7000000000000001E-2</v>
      </c>
      <c r="AZ338" s="835">
        <f t="shared" si="79"/>
        <v>0</v>
      </c>
      <c r="BA338" s="891">
        <f t="shared" si="79"/>
        <v>11.163636363636364</v>
      </c>
      <c r="BB338" s="835">
        <f t="shared" si="79"/>
        <v>0</v>
      </c>
      <c r="BC338" s="835">
        <f t="shared" si="79"/>
        <v>0</v>
      </c>
    </row>
    <row r="339" spans="18:55">
      <c r="AN339" s="2">
        <v>41</v>
      </c>
      <c r="AO339" s="891">
        <f t="shared" si="79"/>
        <v>3621.1727272727276</v>
      </c>
      <c r="AP339" s="891">
        <f t="shared" si="79"/>
        <v>0.47799999999999998</v>
      </c>
      <c r="AQ339" s="835">
        <f t="shared" si="79"/>
        <v>0</v>
      </c>
      <c r="AR339" s="891">
        <f t="shared" si="79"/>
        <v>632.77272727272725</v>
      </c>
      <c r="AS339" s="891">
        <f t="shared" si="79"/>
        <v>0.13700000000000001</v>
      </c>
      <c r="AT339" s="835">
        <f t="shared" si="79"/>
        <v>0</v>
      </c>
      <c r="AU339" s="891">
        <f t="shared" si="79"/>
        <v>288.07272727272726</v>
      </c>
      <c r="AV339" s="891">
        <f t="shared" si="79"/>
        <v>6.8000000000000005E-2</v>
      </c>
      <c r="AW339" s="835">
        <f t="shared" si="79"/>
        <v>0</v>
      </c>
      <c r="AX339" s="891">
        <f t="shared" si="79"/>
        <v>92.845454545454544</v>
      </c>
      <c r="AY339" s="891">
        <f t="shared" si="79"/>
        <v>1.7000000000000001E-2</v>
      </c>
      <c r="AZ339" s="835">
        <f t="shared" si="79"/>
        <v>0</v>
      </c>
      <c r="BA339" s="891">
        <f t="shared" si="79"/>
        <v>16.745454545454546</v>
      </c>
      <c r="BB339" s="835">
        <f t="shared" si="79"/>
        <v>0</v>
      </c>
      <c r="BC339" s="835">
        <f t="shared" si="79"/>
        <v>0</v>
      </c>
    </row>
    <row r="340" spans="18:55">
      <c r="AN340" s="2">
        <v>42</v>
      </c>
      <c r="AO340" s="891">
        <f t="shared" si="79"/>
        <v>3626.7636363636366</v>
      </c>
      <c r="AP340" s="891">
        <f t="shared" si="79"/>
        <v>0.47799999999999998</v>
      </c>
      <c r="AQ340" s="835">
        <f t="shared" si="79"/>
        <v>0</v>
      </c>
      <c r="AR340" s="891">
        <f t="shared" si="79"/>
        <v>638.36363636363637</v>
      </c>
      <c r="AS340" s="891">
        <f t="shared" si="79"/>
        <v>0.13700000000000001</v>
      </c>
      <c r="AT340" s="835">
        <f t="shared" si="79"/>
        <v>0</v>
      </c>
      <c r="AU340" s="891">
        <f t="shared" si="79"/>
        <v>293.66363636363639</v>
      </c>
      <c r="AV340" s="891">
        <f t="shared" si="79"/>
        <v>6.8000000000000005E-2</v>
      </c>
      <c r="AW340" s="835">
        <f t="shared" si="79"/>
        <v>0</v>
      </c>
      <c r="AX340" s="891">
        <f t="shared" si="79"/>
        <v>98.427272727272722</v>
      </c>
      <c r="AY340" s="891">
        <f t="shared" si="79"/>
        <v>1.7000000000000001E-2</v>
      </c>
      <c r="AZ340" s="835">
        <f t="shared" si="79"/>
        <v>0</v>
      </c>
      <c r="BA340" s="891">
        <f t="shared" si="79"/>
        <v>22.327272727272728</v>
      </c>
      <c r="BB340" s="835">
        <f t="shared" si="79"/>
        <v>0</v>
      </c>
      <c r="BC340" s="835">
        <f t="shared" si="79"/>
        <v>0</v>
      </c>
    </row>
    <row r="341" spans="18:55">
      <c r="R341" s="1260" t="s">
        <v>1759</v>
      </c>
      <c r="S341" s="1260"/>
      <c r="T341" s="1260"/>
      <c r="U341" s="1260"/>
      <c r="V341" s="1260"/>
      <c r="W341" s="1260"/>
      <c r="X341" s="1260"/>
      <c r="Y341" s="1260"/>
      <c r="Z341" s="1260"/>
      <c r="AA341" s="1260"/>
      <c r="AB341" s="1260"/>
      <c r="AC341" s="1260"/>
      <c r="AD341" s="1260"/>
      <c r="AE341" s="1260"/>
      <c r="AF341" s="1260"/>
      <c r="AG341" s="1261"/>
      <c r="AN341" s="2">
        <v>43</v>
      </c>
      <c r="AO341" s="891">
        <f t="shared" si="79"/>
        <v>3632.3545454545456</v>
      </c>
      <c r="AP341" s="891">
        <f t="shared" si="79"/>
        <v>0.47799999999999998</v>
      </c>
      <c r="AQ341" s="835">
        <f t="shared" si="79"/>
        <v>0</v>
      </c>
      <c r="AR341" s="891">
        <f t="shared" si="79"/>
        <v>643.9545454545455</v>
      </c>
      <c r="AS341" s="891">
        <f t="shared" si="79"/>
        <v>0.13700000000000001</v>
      </c>
      <c r="AT341" s="835">
        <f t="shared" si="79"/>
        <v>0</v>
      </c>
      <c r="AU341" s="891">
        <f t="shared" si="79"/>
        <v>299.25454545454545</v>
      </c>
      <c r="AV341" s="891">
        <f t="shared" si="79"/>
        <v>6.8000000000000005E-2</v>
      </c>
      <c r="AW341" s="835">
        <f t="shared" si="79"/>
        <v>0</v>
      </c>
      <c r="AX341" s="891">
        <f t="shared" si="79"/>
        <v>104.0090909090909</v>
      </c>
      <c r="AY341" s="891">
        <f t="shared" si="79"/>
        <v>1.7000000000000001E-2</v>
      </c>
      <c r="AZ341" s="835">
        <f t="shared" si="79"/>
        <v>0</v>
      </c>
      <c r="BA341" s="891">
        <f t="shared" si="79"/>
        <v>27.90909090909091</v>
      </c>
      <c r="BB341" s="835">
        <f t="shared" si="79"/>
        <v>0</v>
      </c>
      <c r="BC341" s="835">
        <f t="shared" si="79"/>
        <v>0</v>
      </c>
    </row>
    <row r="342" spans="18:55" ht="15" thickBot="1">
      <c r="AN342" s="2">
        <v>44</v>
      </c>
      <c r="AO342" s="891">
        <f t="shared" si="79"/>
        <v>3637.9454545454546</v>
      </c>
      <c r="AP342" s="891">
        <f t="shared" si="79"/>
        <v>0.47799999999999998</v>
      </c>
      <c r="AQ342" s="835">
        <f t="shared" si="79"/>
        <v>0</v>
      </c>
      <c r="AR342" s="891">
        <f t="shared" si="79"/>
        <v>649.5454545454545</v>
      </c>
      <c r="AS342" s="891">
        <f t="shared" si="79"/>
        <v>0.13700000000000001</v>
      </c>
      <c r="AT342" s="835">
        <f t="shared" si="79"/>
        <v>0</v>
      </c>
      <c r="AU342" s="891">
        <f t="shared" si="79"/>
        <v>304.84545454545457</v>
      </c>
      <c r="AV342" s="891">
        <f t="shared" si="79"/>
        <v>6.8000000000000005E-2</v>
      </c>
      <c r="AW342" s="835">
        <f t="shared" si="79"/>
        <v>0</v>
      </c>
      <c r="AX342" s="891">
        <f t="shared" si="79"/>
        <v>109.59090909090909</v>
      </c>
      <c r="AY342" s="891">
        <f t="shared" si="79"/>
        <v>1.7000000000000001E-2</v>
      </c>
      <c r="AZ342" s="835">
        <f t="shared" si="79"/>
        <v>0</v>
      </c>
      <c r="BA342" s="891">
        <f t="shared" si="79"/>
        <v>33.490909090909092</v>
      </c>
      <c r="BB342" s="835">
        <f t="shared" si="79"/>
        <v>0</v>
      </c>
      <c r="BC342" s="835">
        <f t="shared" si="79"/>
        <v>0</v>
      </c>
    </row>
    <row r="343" spans="18:55" ht="15" thickBot="1">
      <c r="R343" s="527" t="s">
        <v>2321</v>
      </c>
      <c r="T343" s="926" t="s">
        <v>2383</v>
      </c>
      <c r="U343" s="926" t="s">
        <v>2384</v>
      </c>
      <c r="V343" s="954"/>
      <c r="W343" s="954"/>
      <c r="X343" s="954"/>
      <c r="Y343" s="955"/>
      <c r="AN343" s="2">
        <v>45</v>
      </c>
      <c r="AO343" s="891">
        <f t="shared" si="79"/>
        <v>3643.5363636363636</v>
      </c>
      <c r="AP343" s="891">
        <f t="shared" si="79"/>
        <v>0.47799999999999998</v>
      </c>
      <c r="AQ343" s="835">
        <f t="shared" si="79"/>
        <v>0</v>
      </c>
      <c r="AR343" s="891">
        <f t="shared" si="79"/>
        <v>655.13636363636363</v>
      </c>
      <c r="AS343" s="891">
        <f t="shared" si="79"/>
        <v>0.13700000000000001</v>
      </c>
      <c r="AT343" s="835">
        <f t="shared" si="79"/>
        <v>0</v>
      </c>
      <c r="AU343" s="891">
        <f t="shared" si="79"/>
        <v>310.43636363636364</v>
      </c>
      <c r="AV343" s="891">
        <f t="shared" si="79"/>
        <v>6.8000000000000005E-2</v>
      </c>
      <c r="AW343" s="835">
        <f t="shared" si="79"/>
        <v>0</v>
      </c>
      <c r="AX343" s="891">
        <f t="shared" si="79"/>
        <v>115.17272727272727</v>
      </c>
      <c r="AY343" s="891">
        <f t="shared" si="79"/>
        <v>1.7000000000000001E-2</v>
      </c>
      <c r="AZ343" s="835">
        <f t="shared" si="79"/>
        <v>0</v>
      </c>
      <c r="BA343" s="891">
        <f t="shared" si="79"/>
        <v>39.072727272727271</v>
      </c>
      <c r="BB343" s="835">
        <f t="shared" si="79"/>
        <v>0</v>
      </c>
      <c r="BC343" s="835">
        <f t="shared" si="79"/>
        <v>0</v>
      </c>
    </row>
    <row r="344" spans="18:55" ht="15" thickTop="1">
      <c r="R344" s="711">
        <v>0.2</v>
      </c>
      <c r="T344" s="929">
        <v>15</v>
      </c>
      <c r="U344" s="933" t="s">
        <v>2385</v>
      </c>
      <c r="V344" s="954"/>
      <c r="W344" s="954"/>
      <c r="X344" s="954"/>
      <c r="Y344" s="955"/>
      <c r="AN344" s="2">
        <v>46</v>
      </c>
      <c r="AO344" s="891">
        <f t="shared" si="79"/>
        <v>3649.1272727272726</v>
      </c>
      <c r="AP344" s="891">
        <f t="shared" si="79"/>
        <v>0.47799999999999998</v>
      </c>
      <c r="AQ344" s="835">
        <f t="shared" si="79"/>
        <v>0</v>
      </c>
      <c r="AR344" s="891">
        <f t="shared" si="79"/>
        <v>660.72727272727275</v>
      </c>
      <c r="AS344" s="891">
        <f t="shared" si="79"/>
        <v>0.13700000000000001</v>
      </c>
      <c r="AT344" s="835">
        <f t="shared" si="79"/>
        <v>0</v>
      </c>
      <c r="AU344" s="891">
        <f t="shared" si="79"/>
        <v>316.02727272727276</v>
      </c>
      <c r="AV344" s="891">
        <f t="shared" si="79"/>
        <v>6.8000000000000005E-2</v>
      </c>
      <c r="AW344" s="835">
        <f t="shared" si="79"/>
        <v>0</v>
      </c>
      <c r="AX344" s="891">
        <f t="shared" si="79"/>
        <v>120.75454545454545</v>
      </c>
      <c r="AY344" s="891">
        <f t="shared" si="79"/>
        <v>1.7000000000000001E-2</v>
      </c>
      <c r="AZ344" s="835">
        <f t="shared" si="79"/>
        <v>0</v>
      </c>
      <c r="BA344" s="891">
        <f t="shared" si="79"/>
        <v>44.654545454545456</v>
      </c>
      <c r="BB344" s="835">
        <f t="shared" si="79"/>
        <v>0</v>
      </c>
      <c r="BC344" s="835">
        <f t="shared" si="79"/>
        <v>0</v>
      </c>
    </row>
    <row r="345" spans="18:55">
      <c r="T345" s="954"/>
      <c r="U345" s="956"/>
      <c r="V345" s="954"/>
      <c r="W345" s="954"/>
      <c r="X345" s="954"/>
      <c r="Y345" s="955"/>
      <c r="AN345" s="2">
        <v>47</v>
      </c>
      <c r="AO345" s="891">
        <f t="shared" si="79"/>
        <v>3654.7181818181821</v>
      </c>
      <c r="AP345" s="891">
        <f t="shared" si="79"/>
        <v>0.47799999999999998</v>
      </c>
      <c r="AQ345" s="835">
        <f t="shared" si="79"/>
        <v>0</v>
      </c>
      <c r="AR345" s="891">
        <f t="shared" si="79"/>
        <v>666.31818181818187</v>
      </c>
      <c r="AS345" s="891">
        <f t="shared" si="79"/>
        <v>0.13700000000000001</v>
      </c>
      <c r="AT345" s="835">
        <f t="shared" si="79"/>
        <v>0</v>
      </c>
      <c r="AU345" s="891">
        <f t="shared" si="79"/>
        <v>321.61818181818182</v>
      </c>
      <c r="AV345" s="891">
        <f t="shared" si="79"/>
        <v>6.8000000000000005E-2</v>
      </c>
      <c r="AW345" s="835">
        <f t="shared" si="79"/>
        <v>0</v>
      </c>
      <c r="AX345" s="891">
        <f t="shared" si="79"/>
        <v>126.33636363636364</v>
      </c>
      <c r="AY345" s="891">
        <f t="shared" si="79"/>
        <v>1.7000000000000001E-2</v>
      </c>
      <c r="AZ345" s="835">
        <f t="shared" si="79"/>
        <v>0</v>
      </c>
      <c r="BA345" s="891">
        <f t="shared" si="79"/>
        <v>50.236363636363642</v>
      </c>
      <c r="BB345" s="835">
        <f t="shared" si="79"/>
        <v>0</v>
      </c>
      <c r="BC345" s="835">
        <f t="shared" si="79"/>
        <v>0</v>
      </c>
    </row>
    <row r="346" spans="18:55">
      <c r="T346" s="926" t="s">
        <v>2386</v>
      </c>
      <c r="U346" s="933" t="s">
        <v>2387</v>
      </c>
      <c r="V346" s="954"/>
      <c r="W346" s="954"/>
      <c r="X346" s="954"/>
      <c r="Y346" s="955"/>
      <c r="AN346" s="2">
        <v>48</v>
      </c>
      <c r="AO346" s="891">
        <f t="shared" si="79"/>
        <v>3660.3090909090911</v>
      </c>
      <c r="AP346" s="891">
        <f t="shared" si="79"/>
        <v>0.47799999999999998</v>
      </c>
      <c r="AQ346" s="835">
        <f t="shared" si="79"/>
        <v>0</v>
      </c>
      <c r="AR346" s="891">
        <f t="shared" si="79"/>
        <v>671.90909090909088</v>
      </c>
      <c r="AS346" s="891">
        <f t="shared" si="79"/>
        <v>0.13700000000000001</v>
      </c>
      <c r="AT346" s="835">
        <f t="shared" si="79"/>
        <v>0</v>
      </c>
      <c r="AU346" s="891">
        <f t="shared" si="79"/>
        <v>327.20909090909095</v>
      </c>
      <c r="AV346" s="891">
        <f t="shared" si="79"/>
        <v>6.8000000000000005E-2</v>
      </c>
      <c r="AW346" s="835">
        <f t="shared" si="79"/>
        <v>0</v>
      </c>
      <c r="AX346" s="891">
        <f t="shared" si="79"/>
        <v>131.91818181818181</v>
      </c>
      <c r="AY346" s="891">
        <f t="shared" si="79"/>
        <v>1.7000000000000001E-2</v>
      </c>
      <c r="AZ346" s="835">
        <f t="shared" si="79"/>
        <v>0</v>
      </c>
      <c r="BA346" s="891">
        <f t="shared" si="79"/>
        <v>55.81818181818182</v>
      </c>
      <c r="BB346" s="835">
        <f t="shared" si="79"/>
        <v>0</v>
      </c>
      <c r="BC346" s="835">
        <f t="shared" si="79"/>
        <v>0</v>
      </c>
    </row>
    <row r="347" spans="18:55">
      <c r="T347" s="954"/>
      <c r="U347" s="956"/>
      <c r="V347" s="954"/>
      <c r="W347" s="954"/>
      <c r="X347" s="954"/>
      <c r="Y347" s="955"/>
      <c r="AN347" s="2">
        <v>49</v>
      </c>
      <c r="AO347" s="2">
        <v>3665.9</v>
      </c>
      <c r="AP347" s="873">
        <v>0.47799999999999998</v>
      </c>
      <c r="AQ347" s="874">
        <v>0</v>
      </c>
      <c r="AR347" s="2">
        <v>677.5</v>
      </c>
      <c r="AS347" s="873">
        <v>0.13700000000000001</v>
      </c>
      <c r="AT347" s="874">
        <v>0</v>
      </c>
      <c r="AU347" s="2">
        <v>332.8</v>
      </c>
      <c r="AV347" s="873">
        <v>6.8000000000000005E-2</v>
      </c>
      <c r="AW347" s="874"/>
      <c r="AX347" s="2">
        <v>137.5</v>
      </c>
      <c r="AY347" s="873">
        <v>1.7000000000000001E-2</v>
      </c>
      <c r="AZ347" s="874"/>
      <c r="BA347" s="2">
        <v>61.4</v>
      </c>
      <c r="BB347" s="873">
        <v>0</v>
      </c>
      <c r="BC347" s="874">
        <v>0</v>
      </c>
    </row>
    <row r="348" spans="18:55">
      <c r="T348" s="1265" t="s">
        <v>2430</v>
      </c>
      <c r="U348" s="1266"/>
      <c r="V348" s="1266"/>
      <c r="W348" s="1266"/>
      <c r="X348" s="1266"/>
      <c r="Y348" s="1266"/>
      <c r="AN348" s="2">
        <v>50</v>
      </c>
      <c r="AO348" s="891">
        <f t="shared" ref="AO348:BC357" si="80">((($AN348-$AN$347)*(AO$358-AO$347))/($AN$358-$AN$347))+AO$347</f>
        <v>3669.8090909090911</v>
      </c>
      <c r="AP348" s="891">
        <f t="shared" si="80"/>
        <v>0.47954545454545455</v>
      </c>
      <c r="AQ348" s="835">
        <f t="shared" si="80"/>
        <v>0</v>
      </c>
      <c r="AR348" s="891">
        <f t="shared" si="80"/>
        <v>681.40909090909088</v>
      </c>
      <c r="AS348" s="891">
        <f t="shared" si="80"/>
        <v>0.13854545454545455</v>
      </c>
      <c r="AT348" s="835">
        <f t="shared" si="80"/>
        <v>0</v>
      </c>
      <c r="AU348" s="891">
        <f t="shared" si="80"/>
        <v>336.70909090909095</v>
      </c>
      <c r="AV348" s="891">
        <f t="shared" si="80"/>
        <v>6.9545454545454549E-2</v>
      </c>
      <c r="AW348" s="835">
        <f t="shared" si="80"/>
        <v>0</v>
      </c>
      <c r="AX348" s="891">
        <f t="shared" si="80"/>
        <v>141.40909090909091</v>
      </c>
      <c r="AY348" s="891">
        <f t="shared" si="80"/>
        <v>1.8545454545454546E-2</v>
      </c>
      <c r="AZ348" s="835">
        <f t="shared" si="80"/>
        <v>0</v>
      </c>
      <c r="BA348" s="891">
        <f t="shared" si="80"/>
        <v>65.309090909090912</v>
      </c>
      <c r="BB348" s="891">
        <f t="shared" si="80"/>
        <v>1.5454545454545456E-3</v>
      </c>
      <c r="BC348" s="835">
        <f t="shared" si="80"/>
        <v>0</v>
      </c>
    </row>
    <row r="349" spans="18:55">
      <c r="T349" s="958" t="s">
        <v>433</v>
      </c>
      <c r="U349" s="958" t="s">
        <v>2389</v>
      </c>
      <c r="V349" s="1265" t="s">
        <v>2431</v>
      </c>
      <c r="W349" s="1266"/>
      <c r="X349" s="1266"/>
      <c r="Y349" s="1266"/>
      <c r="AN349" s="2">
        <v>51</v>
      </c>
      <c r="AO349" s="891">
        <f t="shared" si="80"/>
        <v>3673.7181818181821</v>
      </c>
      <c r="AP349" s="891">
        <f t="shared" si="80"/>
        <v>0.48109090909090907</v>
      </c>
      <c r="AQ349" s="835">
        <f t="shared" si="80"/>
        <v>0</v>
      </c>
      <c r="AR349" s="891">
        <f t="shared" si="80"/>
        <v>685.31818181818187</v>
      </c>
      <c r="AS349" s="891">
        <f t="shared" si="80"/>
        <v>0.1400909090909091</v>
      </c>
      <c r="AT349" s="835">
        <f t="shared" si="80"/>
        <v>0</v>
      </c>
      <c r="AU349" s="891">
        <f t="shared" si="80"/>
        <v>340.61818181818182</v>
      </c>
      <c r="AV349" s="891">
        <f t="shared" si="80"/>
        <v>7.1090909090909093E-2</v>
      </c>
      <c r="AW349" s="835">
        <f t="shared" si="80"/>
        <v>0</v>
      </c>
      <c r="AX349" s="891">
        <f t="shared" si="80"/>
        <v>145.31818181818181</v>
      </c>
      <c r="AY349" s="891">
        <f t="shared" si="80"/>
        <v>2.0090909090909093E-2</v>
      </c>
      <c r="AZ349" s="835">
        <f t="shared" si="80"/>
        <v>0</v>
      </c>
      <c r="BA349" s="891">
        <f t="shared" si="80"/>
        <v>69.218181818181819</v>
      </c>
      <c r="BB349" s="891">
        <f t="shared" si="80"/>
        <v>3.0909090909090912E-3</v>
      </c>
      <c r="BC349" s="835">
        <f t="shared" si="80"/>
        <v>0</v>
      </c>
    </row>
    <row r="350" spans="18:55" ht="18">
      <c r="T350" s="1298" t="s">
        <v>2432</v>
      </c>
      <c r="U350" s="938" t="s">
        <v>2433</v>
      </c>
      <c r="V350" s="1310" t="s">
        <v>2524</v>
      </c>
      <c r="W350" s="1311"/>
      <c r="X350" s="1311"/>
      <c r="Y350" s="1311"/>
      <c r="AN350" s="2">
        <v>52</v>
      </c>
      <c r="AO350" s="891">
        <f t="shared" si="80"/>
        <v>3677.6272727272726</v>
      </c>
      <c r="AP350" s="891">
        <f t="shared" si="80"/>
        <v>0.48263636363636364</v>
      </c>
      <c r="AQ350" s="835">
        <f t="shared" si="80"/>
        <v>0</v>
      </c>
      <c r="AR350" s="891">
        <f t="shared" si="80"/>
        <v>689.22727272727275</v>
      </c>
      <c r="AS350" s="891">
        <f t="shared" si="80"/>
        <v>0.14163636363636364</v>
      </c>
      <c r="AT350" s="835">
        <f t="shared" si="80"/>
        <v>0</v>
      </c>
      <c r="AU350" s="891">
        <f t="shared" si="80"/>
        <v>344.52727272727276</v>
      </c>
      <c r="AV350" s="891">
        <f t="shared" si="80"/>
        <v>7.2636363636363638E-2</v>
      </c>
      <c r="AW350" s="835">
        <f t="shared" si="80"/>
        <v>0</v>
      </c>
      <c r="AX350" s="891">
        <f t="shared" si="80"/>
        <v>149.22727272727272</v>
      </c>
      <c r="AY350" s="891">
        <f t="shared" si="80"/>
        <v>2.1636363636363638E-2</v>
      </c>
      <c r="AZ350" s="835">
        <f t="shared" si="80"/>
        <v>0</v>
      </c>
      <c r="BA350" s="891">
        <f t="shared" si="80"/>
        <v>73.127272727272725</v>
      </c>
      <c r="BB350" s="891">
        <f t="shared" si="80"/>
        <v>4.6363636363636364E-3</v>
      </c>
      <c r="BC350" s="835">
        <f t="shared" si="80"/>
        <v>0</v>
      </c>
    </row>
    <row r="351" spans="18:55" ht="18">
      <c r="T351" s="1299"/>
      <c r="U351" s="1312" t="s">
        <v>2525</v>
      </c>
      <c r="V351" s="1315" t="s">
        <v>2526</v>
      </c>
      <c r="W351" s="1316"/>
      <c r="X351" s="1316"/>
      <c r="Y351" s="1316"/>
      <c r="AN351" s="2">
        <v>53</v>
      </c>
      <c r="AO351" s="891">
        <f t="shared" si="80"/>
        <v>3681.5363636363636</v>
      </c>
      <c r="AP351" s="891">
        <f t="shared" si="80"/>
        <v>0.48418181818181816</v>
      </c>
      <c r="AQ351" s="835">
        <f t="shared" si="80"/>
        <v>0</v>
      </c>
      <c r="AR351" s="891">
        <f t="shared" si="80"/>
        <v>693.13636363636363</v>
      </c>
      <c r="AS351" s="891">
        <f t="shared" si="80"/>
        <v>0.14318181818181819</v>
      </c>
      <c r="AT351" s="835">
        <f t="shared" si="80"/>
        <v>0</v>
      </c>
      <c r="AU351" s="891">
        <f t="shared" si="80"/>
        <v>348.43636363636364</v>
      </c>
      <c r="AV351" s="891">
        <f t="shared" si="80"/>
        <v>7.4181818181818182E-2</v>
      </c>
      <c r="AW351" s="835">
        <f t="shared" si="80"/>
        <v>0</v>
      </c>
      <c r="AX351" s="891">
        <f t="shared" si="80"/>
        <v>153.13636363636363</v>
      </c>
      <c r="AY351" s="891">
        <f t="shared" si="80"/>
        <v>2.3181818181818185E-2</v>
      </c>
      <c r="AZ351" s="835">
        <f t="shared" si="80"/>
        <v>0</v>
      </c>
      <c r="BA351" s="891">
        <f t="shared" si="80"/>
        <v>77.036363636363632</v>
      </c>
      <c r="BB351" s="891">
        <f t="shared" si="80"/>
        <v>6.1818181818181824E-3</v>
      </c>
      <c r="BC351" s="835">
        <f t="shared" si="80"/>
        <v>0</v>
      </c>
    </row>
    <row r="352" spans="18:55">
      <c r="T352" s="1299"/>
      <c r="U352" s="1313"/>
      <c r="V352" s="1317" t="s">
        <v>2527</v>
      </c>
      <c r="W352" s="1318"/>
      <c r="X352" s="1318"/>
      <c r="Y352" s="1318"/>
      <c r="AN352" s="2">
        <v>54</v>
      </c>
      <c r="AO352" s="891">
        <f t="shared" si="80"/>
        <v>3685.4454545454546</v>
      </c>
      <c r="AP352" s="891">
        <f t="shared" si="80"/>
        <v>0.48572727272727273</v>
      </c>
      <c r="AQ352" s="835">
        <f t="shared" si="80"/>
        <v>0</v>
      </c>
      <c r="AR352" s="891">
        <f t="shared" si="80"/>
        <v>697.0454545454545</v>
      </c>
      <c r="AS352" s="891">
        <f t="shared" si="80"/>
        <v>0.14472727272727273</v>
      </c>
      <c r="AT352" s="835">
        <f t="shared" si="80"/>
        <v>0</v>
      </c>
      <c r="AU352" s="891">
        <f t="shared" si="80"/>
        <v>352.34545454545457</v>
      </c>
      <c r="AV352" s="891">
        <f t="shared" si="80"/>
        <v>7.5727272727272726E-2</v>
      </c>
      <c r="AW352" s="835">
        <f t="shared" si="80"/>
        <v>0</v>
      </c>
      <c r="AX352" s="891">
        <f t="shared" si="80"/>
        <v>157.04545454545456</v>
      </c>
      <c r="AY352" s="891">
        <f t="shared" si="80"/>
        <v>2.472727272727273E-2</v>
      </c>
      <c r="AZ352" s="835">
        <f t="shared" si="80"/>
        <v>0</v>
      </c>
      <c r="BA352" s="891">
        <f t="shared" si="80"/>
        <v>80.945454545454538</v>
      </c>
      <c r="BB352" s="891">
        <f t="shared" si="80"/>
        <v>7.7272727272727276E-3</v>
      </c>
      <c r="BC352" s="835">
        <f t="shared" si="80"/>
        <v>0</v>
      </c>
    </row>
    <row r="353" spans="20:55">
      <c r="T353" s="1299"/>
      <c r="U353" s="1313"/>
      <c r="V353" s="1317" t="s">
        <v>2528</v>
      </c>
      <c r="W353" s="1318"/>
      <c r="X353" s="1318"/>
      <c r="Y353" s="1318"/>
      <c r="AN353" s="2">
        <v>55</v>
      </c>
      <c r="AO353" s="891">
        <f t="shared" si="80"/>
        <v>3689.3545454545456</v>
      </c>
      <c r="AP353" s="891">
        <f t="shared" si="80"/>
        <v>0.48727272727272725</v>
      </c>
      <c r="AQ353" s="835">
        <f t="shared" si="80"/>
        <v>0</v>
      </c>
      <c r="AR353" s="891">
        <f t="shared" si="80"/>
        <v>700.9545454545455</v>
      </c>
      <c r="AS353" s="891">
        <f t="shared" si="80"/>
        <v>0.14627272727272728</v>
      </c>
      <c r="AT353" s="835">
        <f t="shared" si="80"/>
        <v>0</v>
      </c>
      <c r="AU353" s="891">
        <f t="shared" si="80"/>
        <v>356.25454545454545</v>
      </c>
      <c r="AV353" s="891">
        <f t="shared" si="80"/>
        <v>7.7272727272727271E-2</v>
      </c>
      <c r="AW353" s="835">
        <f t="shared" si="80"/>
        <v>0</v>
      </c>
      <c r="AX353" s="891">
        <f t="shared" si="80"/>
        <v>160.95454545454544</v>
      </c>
      <c r="AY353" s="891">
        <f t="shared" si="80"/>
        <v>2.6272727272727274E-2</v>
      </c>
      <c r="AZ353" s="835">
        <f t="shared" si="80"/>
        <v>0</v>
      </c>
      <c r="BA353" s="891">
        <f t="shared" si="80"/>
        <v>84.854545454545459</v>
      </c>
      <c r="BB353" s="891">
        <f t="shared" si="80"/>
        <v>9.2727272727272728E-3</v>
      </c>
      <c r="BC353" s="835">
        <f t="shared" si="80"/>
        <v>0</v>
      </c>
    </row>
    <row r="354" spans="20:55">
      <c r="T354" s="1299"/>
      <c r="U354" s="1314"/>
      <c r="V354" s="1319" t="s">
        <v>2529</v>
      </c>
      <c r="W354" s="1320"/>
      <c r="X354" s="1320"/>
      <c r="Y354" s="1320"/>
      <c r="AN354" s="2">
        <v>56</v>
      </c>
      <c r="AO354" s="891">
        <f t="shared" si="80"/>
        <v>3693.2636363636366</v>
      </c>
      <c r="AP354" s="891">
        <f t="shared" si="80"/>
        <v>0.48881818181818182</v>
      </c>
      <c r="AQ354" s="835">
        <f t="shared" si="80"/>
        <v>0</v>
      </c>
      <c r="AR354" s="891">
        <f t="shared" si="80"/>
        <v>704.86363636363637</v>
      </c>
      <c r="AS354" s="891">
        <f t="shared" si="80"/>
        <v>0.14781818181818182</v>
      </c>
      <c r="AT354" s="835">
        <f t="shared" si="80"/>
        <v>0</v>
      </c>
      <c r="AU354" s="891">
        <f t="shared" si="80"/>
        <v>360.16363636363639</v>
      </c>
      <c r="AV354" s="891">
        <f t="shared" si="80"/>
        <v>7.8818181818181829E-2</v>
      </c>
      <c r="AW354" s="835">
        <f t="shared" si="80"/>
        <v>0</v>
      </c>
      <c r="AX354" s="891">
        <f t="shared" si="80"/>
        <v>164.86363636363637</v>
      </c>
      <c r="AY354" s="891">
        <f t="shared" si="80"/>
        <v>2.7818181818181818E-2</v>
      </c>
      <c r="AZ354" s="835">
        <f t="shared" si="80"/>
        <v>0</v>
      </c>
      <c r="BA354" s="891">
        <f t="shared" si="80"/>
        <v>88.763636363636365</v>
      </c>
      <c r="BB354" s="891">
        <f t="shared" si="80"/>
        <v>1.0818181818181819E-2</v>
      </c>
      <c r="BC354" s="835">
        <f t="shared" si="80"/>
        <v>0</v>
      </c>
    </row>
    <row r="355" spans="20:55">
      <c r="T355" s="1299"/>
      <c r="U355" s="959" t="s">
        <v>2530</v>
      </c>
      <c r="V355" s="1283" t="s">
        <v>2396</v>
      </c>
      <c r="W355" s="1301"/>
      <c r="X355" s="1301"/>
      <c r="Y355" s="1301"/>
      <c r="AN355" s="2">
        <v>57</v>
      </c>
      <c r="AO355" s="891">
        <f t="shared" si="80"/>
        <v>3697.1727272727276</v>
      </c>
      <c r="AP355" s="891">
        <f t="shared" si="80"/>
        <v>0.49036363636363633</v>
      </c>
      <c r="AQ355" s="835">
        <f t="shared" si="80"/>
        <v>0</v>
      </c>
      <c r="AR355" s="891">
        <f t="shared" si="80"/>
        <v>708.77272727272725</v>
      </c>
      <c r="AS355" s="891">
        <f t="shared" si="80"/>
        <v>0.14936363636363637</v>
      </c>
      <c r="AT355" s="835">
        <f t="shared" si="80"/>
        <v>0</v>
      </c>
      <c r="AU355" s="891">
        <f t="shared" si="80"/>
        <v>364.07272727272726</v>
      </c>
      <c r="AV355" s="891">
        <f t="shared" si="80"/>
        <v>8.0363636363636373E-2</v>
      </c>
      <c r="AW355" s="835">
        <f t="shared" si="80"/>
        <v>0</v>
      </c>
      <c r="AX355" s="891">
        <f t="shared" si="80"/>
        <v>168.77272727272728</v>
      </c>
      <c r="AY355" s="891">
        <f t="shared" si="80"/>
        <v>2.9363636363636366E-2</v>
      </c>
      <c r="AZ355" s="835">
        <f t="shared" si="80"/>
        <v>0</v>
      </c>
      <c r="BA355" s="891">
        <f t="shared" si="80"/>
        <v>92.672727272727272</v>
      </c>
      <c r="BB355" s="891">
        <f t="shared" si="80"/>
        <v>1.2363636363636365E-2</v>
      </c>
      <c r="BC355" s="835">
        <f t="shared" si="80"/>
        <v>0</v>
      </c>
    </row>
    <row r="356" spans="20:55">
      <c r="T356" s="1299"/>
      <c r="U356" s="938" t="s">
        <v>2397</v>
      </c>
      <c r="V356" s="1283" t="s">
        <v>2398</v>
      </c>
      <c r="W356" s="1301"/>
      <c r="X356" s="1301"/>
      <c r="Y356" s="1301"/>
      <c r="AN356" s="2">
        <v>58</v>
      </c>
      <c r="AO356" s="891">
        <f t="shared" si="80"/>
        <v>3701.0818181818181</v>
      </c>
      <c r="AP356" s="891">
        <f t="shared" si="80"/>
        <v>0.49190909090909091</v>
      </c>
      <c r="AQ356" s="835">
        <f t="shared" si="80"/>
        <v>0</v>
      </c>
      <c r="AR356" s="891">
        <f t="shared" si="80"/>
        <v>712.68181818181813</v>
      </c>
      <c r="AS356" s="891">
        <f t="shared" si="80"/>
        <v>0.15090909090909091</v>
      </c>
      <c r="AT356" s="835">
        <f t="shared" si="80"/>
        <v>0</v>
      </c>
      <c r="AU356" s="891">
        <f t="shared" si="80"/>
        <v>367.9818181818182</v>
      </c>
      <c r="AV356" s="891">
        <f t="shared" si="80"/>
        <v>8.1909090909090917E-2</v>
      </c>
      <c r="AW356" s="835">
        <f t="shared" si="80"/>
        <v>0</v>
      </c>
      <c r="AX356" s="891">
        <f t="shared" si="80"/>
        <v>172.68181818181819</v>
      </c>
      <c r="AY356" s="891">
        <f t="shared" si="80"/>
        <v>3.0909090909090914E-2</v>
      </c>
      <c r="AZ356" s="835">
        <f t="shared" si="80"/>
        <v>0</v>
      </c>
      <c r="BA356" s="891">
        <f t="shared" si="80"/>
        <v>96.581818181818193</v>
      </c>
      <c r="BB356" s="891">
        <f t="shared" si="80"/>
        <v>1.3909090909090911E-2</v>
      </c>
      <c r="BC356" s="835">
        <f t="shared" si="80"/>
        <v>0</v>
      </c>
    </row>
    <row r="357" spans="20:55" ht="16.5">
      <c r="T357" s="1299"/>
      <c r="U357" s="938" t="s">
        <v>2399</v>
      </c>
      <c r="V357" s="1283" t="s">
        <v>2531</v>
      </c>
      <c r="W357" s="1301"/>
      <c r="X357" s="1301"/>
      <c r="Y357" s="1301"/>
      <c r="AN357" s="2">
        <v>59</v>
      </c>
      <c r="AO357" s="891">
        <f t="shared" si="80"/>
        <v>3704.9909090909091</v>
      </c>
      <c r="AP357" s="891">
        <f t="shared" si="80"/>
        <v>0.49345454545454542</v>
      </c>
      <c r="AQ357" s="835">
        <f t="shared" si="80"/>
        <v>0</v>
      </c>
      <c r="AR357" s="891">
        <f t="shared" si="80"/>
        <v>716.59090909090912</v>
      </c>
      <c r="AS357" s="891">
        <f t="shared" si="80"/>
        <v>0.15245454545454545</v>
      </c>
      <c r="AT357" s="835">
        <f t="shared" si="80"/>
        <v>0</v>
      </c>
      <c r="AU357" s="891">
        <f t="shared" si="80"/>
        <v>371.89090909090908</v>
      </c>
      <c r="AV357" s="891">
        <f t="shared" si="80"/>
        <v>8.3454545454545462E-2</v>
      </c>
      <c r="AW357" s="835">
        <f t="shared" si="80"/>
        <v>0</v>
      </c>
      <c r="AX357" s="891">
        <f t="shared" si="80"/>
        <v>176.59090909090909</v>
      </c>
      <c r="AY357" s="891">
        <f t="shared" si="80"/>
        <v>3.2454545454545458E-2</v>
      </c>
      <c r="AZ357" s="835">
        <f t="shared" si="80"/>
        <v>0</v>
      </c>
      <c r="BA357" s="891">
        <f t="shared" si="80"/>
        <v>100.4909090909091</v>
      </c>
      <c r="BB357" s="891">
        <f t="shared" si="80"/>
        <v>1.5454545454545455E-2</v>
      </c>
      <c r="BC357" s="835">
        <f t="shared" si="80"/>
        <v>0</v>
      </c>
    </row>
    <row r="358" spans="20:55" ht="16.5">
      <c r="T358" s="1299"/>
      <c r="U358" s="938" t="s">
        <v>2401</v>
      </c>
      <c r="V358" s="1283" t="s">
        <v>2402</v>
      </c>
      <c r="W358" s="1301"/>
      <c r="X358" s="1301"/>
      <c r="Y358" s="1301"/>
      <c r="AN358" s="2">
        <v>60</v>
      </c>
      <c r="AO358" s="2">
        <v>3708.9</v>
      </c>
      <c r="AP358" s="873">
        <v>0.495</v>
      </c>
      <c r="AQ358" s="874">
        <v>0</v>
      </c>
      <c r="AR358" s="2">
        <v>720.5</v>
      </c>
      <c r="AS358" s="873">
        <v>0.154</v>
      </c>
      <c r="AT358" s="874">
        <v>0</v>
      </c>
      <c r="AU358" s="2">
        <v>375.8</v>
      </c>
      <c r="AV358" s="873">
        <v>8.5000000000000006E-2</v>
      </c>
      <c r="AW358" s="874">
        <v>0</v>
      </c>
      <c r="AX358" s="2">
        <v>180.5</v>
      </c>
      <c r="AY358" s="873">
        <v>3.4000000000000002E-2</v>
      </c>
      <c r="AZ358" s="874">
        <v>0</v>
      </c>
      <c r="BA358" s="2">
        <v>104.4</v>
      </c>
      <c r="BB358" s="873">
        <v>1.7000000000000001E-2</v>
      </c>
      <c r="BC358" s="874">
        <v>0</v>
      </c>
    </row>
    <row r="359" spans="20:55" ht="16.5">
      <c r="T359" s="1300"/>
      <c r="U359" s="938" t="s">
        <v>2403</v>
      </c>
      <c r="V359" s="1287" t="s">
        <v>2404</v>
      </c>
      <c r="W359" s="1305"/>
      <c r="X359" s="1305"/>
      <c r="Y359" s="1305"/>
    </row>
    <row r="360" spans="20:55">
      <c r="T360" s="954"/>
      <c r="U360" s="956"/>
      <c r="V360" s="954"/>
      <c r="W360" s="954"/>
      <c r="X360" s="954"/>
      <c r="Y360" s="955"/>
    </row>
    <row r="361" spans="20:55">
      <c r="T361" s="954"/>
      <c r="U361" s="956"/>
      <c r="V361" s="954"/>
      <c r="W361" s="954"/>
      <c r="X361" s="954"/>
      <c r="Y361" s="955"/>
    </row>
    <row r="362" spans="20:55">
      <c r="T362" s="1265" t="s">
        <v>2405</v>
      </c>
      <c r="U362" s="1266"/>
      <c r="V362" s="1266"/>
      <c r="W362" s="1266"/>
      <c r="X362" s="954"/>
      <c r="Y362" s="955"/>
    </row>
    <row r="363" spans="20:55">
      <c r="T363" s="960" t="s">
        <v>2406</v>
      </c>
      <c r="U363" s="957" t="s">
        <v>212</v>
      </c>
      <c r="V363" s="960" t="s">
        <v>2407</v>
      </c>
      <c r="W363" s="960" t="s">
        <v>2408</v>
      </c>
      <c r="X363" s="954"/>
      <c r="Y363" s="955"/>
      <c r="AN363" s="431" t="s">
        <v>1138</v>
      </c>
    </row>
    <row r="364" spans="20:55" ht="16.5">
      <c r="T364" s="924" t="s">
        <v>2532</v>
      </c>
      <c r="U364" s="984" t="s">
        <v>2423</v>
      </c>
      <c r="V364" s="985" t="s">
        <v>2533</v>
      </c>
      <c r="W364" s="986" t="s">
        <v>2385</v>
      </c>
      <c r="X364" s="954"/>
      <c r="Y364" s="955"/>
      <c r="AN364" s="2" t="s">
        <v>1082</v>
      </c>
      <c r="AO364" s="880">
        <v>0</v>
      </c>
      <c r="AP364" s="880"/>
      <c r="AQ364" s="880"/>
      <c r="AR364" s="880">
        <v>11</v>
      </c>
      <c r="AS364" s="880"/>
      <c r="AT364" s="880"/>
      <c r="AU364" s="880">
        <v>19</v>
      </c>
      <c r="AV364" s="880"/>
      <c r="AW364" s="880"/>
      <c r="AX364" s="880">
        <v>30</v>
      </c>
      <c r="AY364" s="880"/>
      <c r="AZ364" s="880"/>
      <c r="BA364" s="880">
        <v>38</v>
      </c>
      <c r="BB364" s="880"/>
      <c r="BC364" s="880"/>
    </row>
    <row r="365" spans="20:55" ht="16.5">
      <c r="T365" s="924" t="s">
        <v>2534</v>
      </c>
      <c r="U365" s="984" t="s">
        <v>2423</v>
      </c>
      <c r="V365" s="985" t="s">
        <v>2533</v>
      </c>
      <c r="W365" s="986" t="s">
        <v>2385</v>
      </c>
      <c r="X365" s="954"/>
      <c r="Y365" s="955"/>
      <c r="AN365" s="2" t="s">
        <v>1083</v>
      </c>
      <c r="AO365" s="2" t="s">
        <v>1084</v>
      </c>
      <c r="AP365" s="883" t="s">
        <v>1085</v>
      </c>
      <c r="AQ365" s="884"/>
      <c r="AR365" s="2" t="s">
        <v>1084</v>
      </c>
      <c r="AS365" s="883" t="s">
        <v>1085</v>
      </c>
      <c r="AT365" s="884"/>
      <c r="AU365" s="2" t="s">
        <v>1084</v>
      </c>
      <c r="AV365" s="883" t="s">
        <v>1085</v>
      </c>
      <c r="AW365" s="884"/>
      <c r="AX365" s="2" t="s">
        <v>1084</v>
      </c>
      <c r="AY365" s="883" t="s">
        <v>1085</v>
      </c>
      <c r="AZ365" s="884"/>
      <c r="BA365" s="2" t="s">
        <v>1084</v>
      </c>
      <c r="BB365" s="883" t="s">
        <v>1085</v>
      </c>
      <c r="BC365" s="884"/>
    </row>
    <row r="366" spans="20:55" ht="16.5">
      <c r="T366" s="924" t="s">
        <v>2535</v>
      </c>
      <c r="U366" s="984" t="s">
        <v>2423</v>
      </c>
      <c r="V366" s="985" t="s">
        <v>2417</v>
      </c>
      <c r="W366" s="986" t="s">
        <v>2385</v>
      </c>
      <c r="X366" s="954"/>
      <c r="Y366" s="955"/>
      <c r="AN366" s="2">
        <v>11</v>
      </c>
      <c r="AO366" s="2">
        <v>5338.7</v>
      </c>
      <c r="AP366" s="873">
        <v>0.307</v>
      </c>
      <c r="AQ366" s="874">
        <v>0</v>
      </c>
      <c r="AR366" s="874">
        <v>0</v>
      </c>
      <c r="AS366" s="874">
        <v>0</v>
      </c>
      <c r="AT366" s="874">
        <v>0</v>
      </c>
      <c r="AU366" s="874">
        <v>0</v>
      </c>
      <c r="AV366" s="874">
        <v>0</v>
      </c>
      <c r="AW366" s="874">
        <v>0</v>
      </c>
      <c r="AX366" s="874">
        <v>0</v>
      </c>
      <c r="AY366" s="874">
        <v>0</v>
      </c>
      <c r="AZ366" s="874">
        <v>0</v>
      </c>
      <c r="BA366" s="874">
        <v>0</v>
      </c>
      <c r="BB366" s="874">
        <v>0</v>
      </c>
      <c r="BC366" s="874">
        <v>0</v>
      </c>
    </row>
    <row r="367" spans="20:55" ht="16.5">
      <c r="T367" s="924" t="s">
        <v>2536</v>
      </c>
      <c r="U367" s="984" t="s">
        <v>2423</v>
      </c>
      <c r="V367" s="985" t="s">
        <v>2537</v>
      </c>
      <c r="W367" s="986" t="s">
        <v>2385</v>
      </c>
      <c r="X367" s="954"/>
      <c r="Y367" s="955"/>
      <c r="AN367" s="2">
        <v>12</v>
      </c>
      <c r="AO367" s="891">
        <f t="shared" ref="AO367:BC373" si="81">((($AN367-$AN$366)*(AO$374-AO$366))/($AN$374-$AN$366))+AO$366</f>
        <v>5420.9375</v>
      </c>
      <c r="AP367" s="891">
        <f t="shared" si="81"/>
        <v>0.3155</v>
      </c>
      <c r="AQ367" s="835">
        <f t="shared" si="81"/>
        <v>0</v>
      </c>
      <c r="AR367" s="891">
        <f t="shared" si="81"/>
        <v>82.224999999999994</v>
      </c>
      <c r="AS367" s="891">
        <f t="shared" si="81"/>
        <v>8.5000000000000006E-3</v>
      </c>
      <c r="AT367" s="835">
        <f t="shared" si="81"/>
        <v>0</v>
      </c>
      <c r="AU367" s="835">
        <f t="shared" si="81"/>
        <v>0</v>
      </c>
      <c r="AV367" s="835">
        <f t="shared" si="81"/>
        <v>0</v>
      </c>
      <c r="AW367" s="835">
        <f t="shared" si="81"/>
        <v>0</v>
      </c>
      <c r="AX367" s="835">
        <f t="shared" si="81"/>
        <v>0</v>
      </c>
      <c r="AY367" s="835">
        <f t="shared" si="81"/>
        <v>0</v>
      </c>
      <c r="AZ367" s="835">
        <f t="shared" si="81"/>
        <v>0</v>
      </c>
      <c r="BA367" s="835">
        <f t="shared" si="81"/>
        <v>0</v>
      </c>
      <c r="BB367" s="835">
        <f t="shared" si="81"/>
        <v>0</v>
      </c>
      <c r="BC367" s="835">
        <f t="shared" si="81"/>
        <v>0</v>
      </c>
    </row>
    <row r="368" spans="20:55" ht="29">
      <c r="T368" s="924" t="s">
        <v>2538</v>
      </c>
      <c r="U368" s="984">
        <v>4</v>
      </c>
      <c r="V368" s="985" t="s">
        <v>2539</v>
      </c>
      <c r="W368" s="987" t="s">
        <v>2540</v>
      </c>
      <c r="X368" s="955"/>
      <c r="Y368" s="955"/>
      <c r="AN368" s="2">
        <v>13</v>
      </c>
      <c r="AO368" s="891">
        <f t="shared" si="81"/>
        <v>5503.1750000000002</v>
      </c>
      <c r="AP368" s="891">
        <f t="shared" si="81"/>
        <v>0.32400000000000001</v>
      </c>
      <c r="AQ368" s="835">
        <f t="shared" si="81"/>
        <v>0</v>
      </c>
      <c r="AR368" s="891">
        <f t="shared" si="81"/>
        <v>164.45</v>
      </c>
      <c r="AS368" s="891">
        <f t="shared" si="81"/>
        <v>1.7000000000000001E-2</v>
      </c>
      <c r="AT368" s="835">
        <f t="shared" si="81"/>
        <v>0</v>
      </c>
      <c r="AU368" s="835">
        <f t="shared" si="81"/>
        <v>0</v>
      </c>
      <c r="AV368" s="835">
        <f t="shared" si="81"/>
        <v>0</v>
      </c>
      <c r="AW368" s="835">
        <f t="shared" si="81"/>
        <v>0</v>
      </c>
      <c r="AX368" s="835">
        <f t="shared" si="81"/>
        <v>0</v>
      </c>
      <c r="AY368" s="835">
        <f t="shared" si="81"/>
        <v>0</v>
      </c>
      <c r="AZ368" s="835">
        <f t="shared" si="81"/>
        <v>0</v>
      </c>
      <c r="BA368" s="835">
        <f t="shared" si="81"/>
        <v>0</v>
      </c>
      <c r="BB368" s="835">
        <f t="shared" si="81"/>
        <v>0</v>
      </c>
      <c r="BC368" s="835">
        <f t="shared" si="81"/>
        <v>0</v>
      </c>
    </row>
    <row r="369" spans="20:55" ht="31">
      <c r="T369" s="924" t="s">
        <v>2541</v>
      </c>
      <c r="U369" s="988" t="s">
        <v>2542</v>
      </c>
      <c r="V369" s="985" t="s">
        <v>2543</v>
      </c>
      <c r="W369" s="986" t="s">
        <v>2385</v>
      </c>
      <c r="X369" s="954"/>
      <c r="Y369" s="955"/>
      <c r="AN369" s="2">
        <v>14</v>
      </c>
      <c r="AO369" s="891">
        <f t="shared" si="81"/>
        <v>5585.4125000000004</v>
      </c>
      <c r="AP369" s="891">
        <f t="shared" si="81"/>
        <v>0.33250000000000002</v>
      </c>
      <c r="AQ369" s="835">
        <f t="shared" si="81"/>
        <v>0</v>
      </c>
      <c r="AR369" s="891">
        <f t="shared" si="81"/>
        <v>246.67499999999998</v>
      </c>
      <c r="AS369" s="891">
        <f t="shared" si="81"/>
        <v>2.5500000000000002E-2</v>
      </c>
      <c r="AT369" s="835">
        <f t="shared" si="81"/>
        <v>0</v>
      </c>
      <c r="AU369" s="835">
        <f t="shared" si="81"/>
        <v>0</v>
      </c>
      <c r="AV369" s="835">
        <f t="shared" si="81"/>
        <v>0</v>
      </c>
      <c r="AW369" s="835">
        <f t="shared" si="81"/>
        <v>0</v>
      </c>
      <c r="AX369" s="835">
        <f t="shared" si="81"/>
        <v>0</v>
      </c>
      <c r="AY369" s="835">
        <f t="shared" si="81"/>
        <v>0</v>
      </c>
      <c r="AZ369" s="835">
        <f t="shared" si="81"/>
        <v>0</v>
      </c>
      <c r="BA369" s="835">
        <f t="shared" si="81"/>
        <v>0</v>
      </c>
      <c r="BB369" s="835">
        <f t="shared" si="81"/>
        <v>0</v>
      </c>
      <c r="BC369" s="835">
        <f t="shared" si="81"/>
        <v>0</v>
      </c>
    </row>
    <row r="370" spans="20:55" ht="43.5">
      <c r="T370" s="924" t="s">
        <v>2544</v>
      </c>
      <c r="U370" s="988" t="s">
        <v>2545</v>
      </c>
      <c r="V370" s="985" t="s">
        <v>2543</v>
      </c>
      <c r="W370" s="986" t="s">
        <v>2385</v>
      </c>
      <c r="X370" s="954"/>
      <c r="Y370" s="955"/>
      <c r="AN370" s="2">
        <v>15</v>
      </c>
      <c r="AO370" s="891">
        <f t="shared" si="81"/>
        <v>5667.65</v>
      </c>
      <c r="AP370" s="891">
        <f t="shared" si="81"/>
        <v>0.34099999999999997</v>
      </c>
      <c r="AQ370" s="835">
        <f t="shared" si="81"/>
        <v>0</v>
      </c>
      <c r="AR370" s="891">
        <f t="shared" si="81"/>
        <v>328.9</v>
      </c>
      <c r="AS370" s="891">
        <f t="shared" si="81"/>
        <v>3.4000000000000002E-2</v>
      </c>
      <c r="AT370" s="835">
        <f t="shared" si="81"/>
        <v>0</v>
      </c>
      <c r="AU370" s="835">
        <f t="shared" si="81"/>
        <v>0</v>
      </c>
      <c r="AV370" s="835">
        <f t="shared" si="81"/>
        <v>0</v>
      </c>
      <c r="AW370" s="835">
        <f t="shared" si="81"/>
        <v>0</v>
      </c>
      <c r="AX370" s="835">
        <f t="shared" si="81"/>
        <v>0</v>
      </c>
      <c r="AY370" s="835">
        <f t="shared" si="81"/>
        <v>0</v>
      </c>
      <c r="AZ370" s="835">
        <f t="shared" si="81"/>
        <v>0</v>
      </c>
      <c r="BA370" s="835">
        <f t="shared" si="81"/>
        <v>0</v>
      </c>
      <c r="BB370" s="835">
        <f t="shared" si="81"/>
        <v>0</v>
      </c>
      <c r="BC370" s="835">
        <f t="shared" si="81"/>
        <v>0</v>
      </c>
    </row>
    <row r="371" spans="20:55">
      <c r="T371" s="938" t="s">
        <v>2546</v>
      </c>
      <c r="U371" s="984" t="s">
        <v>2423</v>
      </c>
      <c r="V371" s="985" t="s">
        <v>2547</v>
      </c>
      <c r="W371" s="986" t="s">
        <v>2385</v>
      </c>
      <c r="X371" s="954"/>
      <c r="Y371" s="955"/>
      <c r="AN371" s="2">
        <v>16</v>
      </c>
      <c r="AO371" s="891">
        <f t="shared" si="81"/>
        <v>5749.8874999999998</v>
      </c>
      <c r="AP371" s="891">
        <f t="shared" si="81"/>
        <v>0.34949999999999998</v>
      </c>
      <c r="AQ371" s="835">
        <f t="shared" si="81"/>
        <v>0</v>
      </c>
      <c r="AR371" s="891">
        <f t="shared" si="81"/>
        <v>411.125</v>
      </c>
      <c r="AS371" s="891">
        <f t="shared" si="81"/>
        <v>4.2500000000000003E-2</v>
      </c>
      <c r="AT371" s="835">
        <f t="shared" si="81"/>
        <v>0</v>
      </c>
      <c r="AU371" s="835">
        <f t="shared" si="81"/>
        <v>0</v>
      </c>
      <c r="AV371" s="835">
        <f t="shared" si="81"/>
        <v>0</v>
      </c>
      <c r="AW371" s="835">
        <f t="shared" si="81"/>
        <v>0</v>
      </c>
      <c r="AX371" s="835">
        <f t="shared" si="81"/>
        <v>0</v>
      </c>
      <c r="AY371" s="835">
        <f t="shared" si="81"/>
        <v>0</v>
      </c>
      <c r="AZ371" s="835">
        <f t="shared" si="81"/>
        <v>0</v>
      </c>
      <c r="BA371" s="835">
        <f t="shared" si="81"/>
        <v>0</v>
      </c>
      <c r="BB371" s="835">
        <f t="shared" si="81"/>
        <v>0</v>
      </c>
      <c r="BC371" s="835">
        <f t="shared" si="81"/>
        <v>0</v>
      </c>
    </row>
    <row r="372" spans="20:55">
      <c r="T372" s="938" t="s">
        <v>2548</v>
      </c>
      <c r="U372" s="984" t="s">
        <v>2423</v>
      </c>
      <c r="V372" s="985" t="s">
        <v>2547</v>
      </c>
      <c r="W372" s="986" t="s">
        <v>2385</v>
      </c>
      <c r="X372" s="954"/>
      <c r="Y372" s="955"/>
      <c r="AN372" s="2">
        <v>17</v>
      </c>
      <c r="AO372" s="891">
        <f t="shared" si="81"/>
        <v>5832.125</v>
      </c>
      <c r="AP372" s="891">
        <f t="shared" si="81"/>
        <v>0.35799999999999998</v>
      </c>
      <c r="AQ372" s="835">
        <f t="shared" si="81"/>
        <v>0</v>
      </c>
      <c r="AR372" s="891">
        <f t="shared" si="81"/>
        <v>493.34999999999997</v>
      </c>
      <c r="AS372" s="891">
        <f t="shared" si="81"/>
        <v>5.1000000000000004E-2</v>
      </c>
      <c r="AT372" s="835">
        <f t="shared" si="81"/>
        <v>0</v>
      </c>
      <c r="AU372" s="835">
        <f t="shared" si="81"/>
        <v>0</v>
      </c>
      <c r="AV372" s="835">
        <f t="shared" si="81"/>
        <v>0</v>
      </c>
      <c r="AW372" s="835">
        <f t="shared" si="81"/>
        <v>0</v>
      </c>
      <c r="AX372" s="835">
        <f t="shared" si="81"/>
        <v>0</v>
      </c>
      <c r="AY372" s="835">
        <f t="shared" si="81"/>
        <v>0</v>
      </c>
      <c r="AZ372" s="835">
        <f t="shared" si="81"/>
        <v>0</v>
      </c>
      <c r="BA372" s="835">
        <f t="shared" si="81"/>
        <v>0</v>
      </c>
      <c r="BB372" s="835">
        <f t="shared" si="81"/>
        <v>0</v>
      </c>
      <c r="BC372" s="835">
        <f t="shared" si="81"/>
        <v>0</v>
      </c>
    </row>
    <row r="373" spans="20:55" ht="16.5">
      <c r="T373" s="938" t="s">
        <v>2549</v>
      </c>
      <c r="U373" s="984">
        <v>0.7</v>
      </c>
      <c r="V373" s="985" t="s">
        <v>2417</v>
      </c>
      <c r="W373" s="986" t="s">
        <v>2385</v>
      </c>
      <c r="X373" s="954"/>
      <c r="Y373" s="955"/>
      <c r="AN373" s="2">
        <v>18</v>
      </c>
      <c r="AO373" s="891">
        <f t="shared" si="81"/>
        <v>5914.3625000000002</v>
      </c>
      <c r="AP373" s="891">
        <f t="shared" si="81"/>
        <v>0.36649999999999999</v>
      </c>
      <c r="AQ373" s="835">
        <f t="shared" si="81"/>
        <v>0</v>
      </c>
      <c r="AR373" s="891">
        <f t="shared" si="81"/>
        <v>575.57499999999993</v>
      </c>
      <c r="AS373" s="891">
        <f t="shared" si="81"/>
        <v>5.9500000000000004E-2</v>
      </c>
      <c r="AT373" s="835">
        <f t="shared" si="81"/>
        <v>0</v>
      </c>
      <c r="AU373" s="835">
        <f t="shared" si="81"/>
        <v>0</v>
      </c>
      <c r="AV373" s="835">
        <f t="shared" si="81"/>
        <v>0</v>
      </c>
      <c r="AW373" s="835">
        <f t="shared" si="81"/>
        <v>0</v>
      </c>
      <c r="AX373" s="835">
        <f t="shared" si="81"/>
        <v>0</v>
      </c>
      <c r="AY373" s="835">
        <f t="shared" si="81"/>
        <v>0</v>
      </c>
      <c r="AZ373" s="835">
        <f t="shared" si="81"/>
        <v>0</v>
      </c>
      <c r="BA373" s="835">
        <f t="shared" si="81"/>
        <v>0</v>
      </c>
      <c r="BB373" s="835">
        <f t="shared" si="81"/>
        <v>0</v>
      </c>
      <c r="BC373" s="835">
        <f t="shared" si="81"/>
        <v>0</v>
      </c>
    </row>
    <row r="374" spans="20:55" ht="16.5">
      <c r="T374" s="938" t="s">
        <v>2550</v>
      </c>
      <c r="U374" s="984">
        <v>88.7</v>
      </c>
      <c r="V374" s="985" t="s">
        <v>2551</v>
      </c>
      <c r="W374" s="986" t="s">
        <v>2385</v>
      </c>
      <c r="X374" s="954"/>
      <c r="Y374" s="955"/>
      <c r="AN374" s="2">
        <v>19</v>
      </c>
      <c r="AO374" s="2">
        <v>5996.6</v>
      </c>
      <c r="AP374" s="873">
        <v>0.375</v>
      </c>
      <c r="AQ374" s="874">
        <v>0</v>
      </c>
      <c r="AR374" s="2">
        <v>657.8</v>
      </c>
      <c r="AS374" s="873">
        <v>6.8000000000000005E-2</v>
      </c>
      <c r="AT374" s="874">
        <v>0</v>
      </c>
      <c r="AU374" s="874">
        <v>0</v>
      </c>
      <c r="AV374" s="874">
        <v>0</v>
      </c>
      <c r="AW374" s="874">
        <v>0</v>
      </c>
      <c r="AX374" s="874">
        <v>0</v>
      </c>
      <c r="AY374" s="874">
        <v>0</v>
      </c>
      <c r="AZ374" s="874">
        <v>0</v>
      </c>
      <c r="BA374" s="874">
        <v>0</v>
      </c>
      <c r="BB374" s="874">
        <v>0</v>
      </c>
      <c r="BC374" s="874">
        <v>0</v>
      </c>
    </row>
    <row r="375" spans="20:55" ht="29">
      <c r="T375" s="938" t="s">
        <v>2552</v>
      </c>
      <c r="U375" s="988" t="s">
        <v>2553</v>
      </c>
      <c r="V375" s="985" t="s">
        <v>2551</v>
      </c>
      <c r="W375" s="986" t="s">
        <v>2385</v>
      </c>
      <c r="X375" s="954"/>
      <c r="Y375" s="955"/>
      <c r="AN375" s="2">
        <v>20</v>
      </c>
      <c r="AO375" s="891">
        <f t="shared" ref="AO375:BC384" si="82">((($AN375-$AN$374)*(AO$385-AO$374))/($AN$385-$AN$374))+AO$374</f>
        <v>6030.9000000000005</v>
      </c>
      <c r="AP375" s="891">
        <f t="shared" si="82"/>
        <v>0.37654545454545457</v>
      </c>
      <c r="AQ375" s="835">
        <f t="shared" si="82"/>
        <v>0</v>
      </c>
      <c r="AR375" s="891">
        <f t="shared" si="82"/>
        <v>692.10909090909092</v>
      </c>
      <c r="AS375" s="891">
        <f t="shared" si="82"/>
        <v>6.9545454545454549E-2</v>
      </c>
      <c r="AT375" s="835">
        <f t="shared" si="82"/>
        <v>0</v>
      </c>
      <c r="AU375" s="891">
        <f t="shared" si="82"/>
        <v>34.300000000000004</v>
      </c>
      <c r="AV375" s="891">
        <f t="shared" si="82"/>
        <v>1.5454545454545456E-3</v>
      </c>
      <c r="AW375" s="835">
        <f t="shared" si="82"/>
        <v>0</v>
      </c>
      <c r="AX375" s="835">
        <f t="shared" si="82"/>
        <v>0</v>
      </c>
      <c r="AY375" s="835">
        <f t="shared" si="82"/>
        <v>0</v>
      </c>
      <c r="AZ375" s="835">
        <f t="shared" si="82"/>
        <v>0</v>
      </c>
      <c r="BA375" s="835">
        <f t="shared" si="82"/>
        <v>0</v>
      </c>
      <c r="BB375" s="835">
        <f t="shared" si="82"/>
        <v>0</v>
      </c>
      <c r="BC375" s="835">
        <f t="shared" si="82"/>
        <v>0</v>
      </c>
    </row>
    <row r="376" spans="20:55" ht="16.5">
      <c r="T376" s="938" t="s">
        <v>2554</v>
      </c>
      <c r="U376" s="961">
        <v>53.2</v>
      </c>
      <c r="V376" s="951" t="s">
        <v>77</v>
      </c>
      <c r="W376" s="924" t="s">
        <v>2555</v>
      </c>
      <c r="X376" s="954"/>
      <c r="Y376" s="955"/>
      <c r="AN376" s="2">
        <v>21</v>
      </c>
      <c r="AO376" s="891">
        <f t="shared" si="82"/>
        <v>6065.2</v>
      </c>
      <c r="AP376" s="891">
        <f t="shared" si="82"/>
        <v>0.37809090909090909</v>
      </c>
      <c r="AQ376" s="835">
        <f t="shared" si="82"/>
        <v>0</v>
      </c>
      <c r="AR376" s="891">
        <f t="shared" si="82"/>
        <v>726.41818181818178</v>
      </c>
      <c r="AS376" s="891">
        <f t="shared" si="82"/>
        <v>7.1090909090909093E-2</v>
      </c>
      <c r="AT376" s="835">
        <f t="shared" si="82"/>
        <v>0</v>
      </c>
      <c r="AU376" s="891">
        <f t="shared" si="82"/>
        <v>68.600000000000009</v>
      </c>
      <c r="AV376" s="891">
        <f t="shared" si="82"/>
        <v>3.0909090909090912E-3</v>
      </c>
      <c r="AW376" s="835">
        <f t="shared" si="82"/>
        <v>0</v>
      </c>
      <c r="AX376" s="835">
        <f t="shared" si="82"/>
        <v>0</v>
      </c>
      <c r="AY376" s="835">
        <f t="shared" si="82"/>
        <v>0</v>
      </c>
      <c r="AZ376" s="835">
        <f t="shared" si="82"/>
        <v>0</v>
      </c>
      <c r="BA376" s="835">
        <f t="shared" si="82"/>
        <v>0</v>
      </c>
      <c r="BB376" s="835">
        <f t="shared" si="82"/>
        <v>0</v>
      </c>
      <c r="BC376" s="835">
        <f t="shared" si="82"/>
        <v>0</v>
      </c>
    </row>
    <row r="377" spans="20:55" ht="29">
      <c r="T377" s="938" t="s">
        <v>2556</v>
      </c>
      <c r="U377" s="988" t="s">
        <v>2557</v>
      </c>
      <c r="V377" s="985" t="s">
        <v>2551</v>
      </c>
      <c r="W377" s="986" t="s">
        <v>2385</v>
      </c>
      <c r="X377" s="954"/>
      <c r="Y377" s="955"/>
      <c r="AN377" s="2">
        <v>22</v>
      </c>
      <c r="AO377" s="891">
        <f t="shared" si="82"/>
        <v>6099.5</v>
      </c>
      <c r="AP377" s="891">
        <f t="shared" si="82"/>
        <v>0.37963636363636366</v>
      </c>
      <c r="AQ377" s="835">
        <f t="shared" si="82"/>
        <v>0</v>
      </c>
      <c r="AR377" s="891">
        <f t="shared" si="82"/>
        <v>760.72727272727275</v>
      </c>
      <c r="AS377" s="891">
        <f t="shared" si="82"/>
        <v>7.2636363636363638E-2</v>
      </c>
      <c r="AT377" s="835">
        <f t="shared" si="82"/>
        <v>0</v>
      </c>
      <c r="AU377" s="891">
        <f t="shared" si="82"/>
        <v>102.9</v>
      </c>
      <c r="AV377" s="891">
        <f t="shared" si="82"/>
        <v>4.6363636363636364E-3</v>
      </c>
      <c r="AW377" s="835">
        <f t="shared" si="82"/>
        <v>0</v>
      </c>
      <c r="AX377" s="835">
        <f t="shared" si="82"/>
        <v>0</v>
      </c>
      <c r="AY377" s="835">
        <f t="shared" si="82"/>
        <v>0</v>
      </c>
      <c r="AZ377" s="835">
        <f t="shared" si="82"/>
        <v>0</v>
      </c>
      <c r="BA377" s="835">
        <f t="shared" si="82"/>
        <v>0</v>
      </c>
      <c r="BB377" s="835">
        <f t="shared" si="82"/>
        <v>0</v>
      </c>
      <c r="BC377" s="835">
        <f t="shared" si="82"/>
        <v>0</v>
      </c>
    </row>
    <row r="378" spans="20:55" ht="16.5">
      <c r="T378" s="938" t="s">
        <v>2558</v>
      </c>
      <c r="U378" s="984">
        <v>9.6999999999999993</v>
      </c>
      <c r="V378" s="985" t="s">
        <v>2559</v>
      </c>
      <c r="W378" s="986" t="s">
        <v>2385</v>
      </c>
      <c r="X378" s="954"/>
      <c r="Y378" s="955"/>
      <c r="AN378" s="2">
        <v>23</v>
      </c>
      <c r="AO378" s="891">
        <f t="shared" si="82"/>
        <v>6133.8</v>
      </c>
      <c r="AP378" s="891">
        <f t="shared" si="82"/>
        <v>0.38118181818181818</v>
      </c>
      <c r="AQ378" s="835">
        <f t="shared" si="82"/>
        <v>0</v>
      </c>
      <c r="AR378" s="891">
        <f t="shared" si="82"/>
        <v>795.0363636363636</v>
      </c>
      <c r="AS378" s="891">
        <f t="shared" si="82"/>
        <v>7.4181818181818182E-2</v>
      </c>
      <c r="AT378" s="835">
        <f t="shared" si="82"/>
        <v>0</v>
      </c>
      <c r="AU378" s="891">
        <f t="shared" si="82"/>
        <v>137.20000000000002</v>
      </c>
      <c r="AV378" s="891">
        <f t="shared" si="82"/>
        <v>6.1818181818181824E-3</v>
      </c>
      <c r="AW378" s="835">
        <f t="shared" si="82"/>
        <v>0</v>
      </c>
      <c r="AX378" s="835">
        <f t="shared" si="82"/>
        <v>0</v>
      </c>
      <c r="AY378" s="835">
        <f t="shared" si="82"/>
        <v>0</v>
      </c>
      <c r="AZ378" s="835">
        <f t="shared" si="82"/>
        <v>0</v>
      </c>
      <c r="BA378" s="835">
        <f t="shared" si="82"/>
        <v>0</v>
      </c>
      <c r="BB378" s="835">
        <f t="shared" si="82"/>
        <v>0</v>
      </c>
      <c r="BC378" s="835">
        <f t="shared" si="82"/>
        <v>0</v>
      </c>
    </row>
    <row r="379" spans="20:55" ht="16.5">
      <c r="T379" s="938" t="s">
        <v>2560</v>
      </c>
      <c r="U379" s="984">
        <v>12.09</v>
      </c>
      <c r="V379" s="985" t="s">
        <v>2559</v>
      </c>
      <c r="W379" s="986" t="s">
        <v>2385</v>
      </c>
      <c r="X379" s="954"/>
      <c r="Y379" s="955"/>
      <c r="AN379" s="2">
        <v>24</v>
      </c>
      <c r="AO379" s="891">
        <f t="shared" si="82"/>
        <v>6168.1</v>
      </c>
      <c r="AP379" s="891">
        <f t="shared" si="82"/>
        <v>0.38272727272727275</v>
      </c>
      <c r="AQ379" s="835">
        <f t="shared" si="82"/>
        <v>0</v>
      </c>
      <c r="AR379" s="891">
        <f t="shared" si="82"/>
        <v>829.34545454545457</v>
      </c>
      <c r="AS379" s="891">
        <f t="shared" si="82"/>
        <v>7.5727272727272726E-2</v>
      </c>
      <c r="AT379" s="835">
        <f t="shared" si="82"/>
        <v>0</v>
      </c>
      <c r="AU379" s="891">
        <f t="shared" si="82"/>
        <v>171.5</v>
      </c>
      <c r="AV379" s="891">
        <f t="shared" si="82"/>
        <v>7.7272727272727276E-3</v>
      </c>
      <c r="AW379" s="835">
        <f t="shared" si="82"/>
        <v>0</v>
      </c>
      <c r="AX379" s="835">
        <f t="shared" si="82"/>
        <v>0</v>
      </c>
      <c r="AY379" s="835">
        <f t="shared" si="82"/>
        <v>0</v>
      </c>
      <c r="AZ379" s="835">
        <f t="shared" si="82"/>
        <v>0</v>
      </c>
      <c r="BA379" s="835">
        <f t="shared" si="82"/>
        <v>0</v>
      </c>
      <c r="BB379" s="835">
        <f t="shared" si="82"/>
        <v>0</v>
      </c>
      <c r="BC379" s="835">
        <f t="shared" si="82"/>
        <v>0</v>
      </c>
    </row>
    <row r="380" spans="20:55" ht="16.5">
      <c r="T380" s="938" t="s">
        <v>2561</v>
      </c>
      <c r="U380" s="989">
        <v>34.6</v>
      </c>
      <c r="V380" s="985" t="s">
        <v>2562</v>
      </c>
      <c r="W380" s="986" t="s">
        <v>2385</v>
      </c>
      <c r="X380" s="954"/>
      <c r="Y380" s="955"/>
      <c r="AN380" s="2">
        <v>25</v>
      </c>
      <c r="AO380" s="891">
        <f t="shared" si="82"/>
        <v>6202.4</v>
      </c>
      <c r="AP380" s="891">
        <f t="shared" si="82"/>
        <v>0.38427272727272727</v>
      </c>
      <c r="AQ380" s="835">
        <f t="shared" si="82"/>
        <v>0</v>
      </c>
      <c r="AR380" s="891">
        <f t="shared" si="82"/>
        <v>863.65454545454543</v>
      </c>
      <c r="AS380" s="891">
        <f t="shared" si="82"/>
        <v>7.7272727272727271E-2</v>
      </c>
      <c r="AT380" s="835">
        <f t="shared" si="82"/>
        <v>0</v>
      </c>
      <c r="AU380" s="891">
        <f t="shared" si="82"/>
        <v>205.8</v>
      </c>
      <c r="AV380" s="891">
        <f t="shared" si="82"/>
        <v>9.2727272727272728E-3</v>
      </c>
      <c r="AW380" s="835">
        <f t="shared" si="82"/>
        <v>0</v>
      </c>
      <c r="AX380" s="835">
        <f t="shared" si="82"/>
        <v>0</v>
      </c>
      <c r="AY380" s="835">
        <f t="shared" si="82"/>
        <v>0</v>
      </c>
      <c r="AZ380" s="835">
        <f t="shared" si="82"/>
        <v>0</v>
      </c>
      <c r="BA380" s="835">
        <f t="shared" si="82"/>
        <v>0</v>
      </c>
      <c r="BB380" s="835">
        <f t="shared" si="82"/>
        <v>0</v>
      </c>
      <c r="BC380" s="835">
        <f t="shared" si="82"/>
        <v>0</v>
      </c>
    </row>
    <row r="381" spans="20:55" ht="16.5">
      <c r="T381" s="938" t="s">
        <v>2563</v>
      </c>
      <c r="U381" s="984">
        <v>37.299999999999997</v>
      </c>
      <c r="V381" s="985" t="s">
        <v>2562</v>
      </c>
      <c r="W381" s="986" t="s">
        <v>2385</v>
      </c>
      <c r="X381" s="954"/>
      <c r="Y381" s="955"/>
      <c r="AN381" s="2">
        <v>26</v>
      </c>
      <c r="AO381" s="891">
        <f t="shared" si="82"/>
        <v>6236.7</v>
      </c>
      <c r="AP381" s="891">
        <f t="shared" si="82"/>
        <v>0.38581818181818184</v>
      </c>
      <c r="AQ381" s="835">
        <f t="shared" si="82"/>
        <v>0</v>
      </c>
      <c r="AR381" s="891">
        <f t="shared" si="82"/>
        <v>897.9636363636364</v>
      </c>
      <c r="AS381" s="891">
        <f t="shared" si="82"/>
        <v>7.8818181818181829E-2</v>
      </c>
      <c r="AT381" s="835">
        <f t="shared" si="82"/>
        <v>0</v>
      </c>
      <c r="AU381" s="891">
        <f t="shared" si="82"/>
        <v>240.1</v>
      </c>
      <c r="AV381" s="891">
        <f t="shared" si="82"/>
        <v>1.0818181818181819E-2</v>
      </c>
      <c r="AW381" s="835">
        <f t="shared" si="82"/>
        <v>0</v>
      </c>
      <c r="AX381" s="835">
        <f t="shared" si="82"/>
        <v>0</v>
      </c>
      <c r="AY381" s="835">
        <f t="shared" si="82"/>
        <v>0</v>
      </c>
      <c r="AZ381" s="835">
        <f t="shared" si="82"/>
        <v>0</v>
      </c>
      <c r="BA381" s="835">
        <f t="shared" si="82"/>
        <v>0</v>
      </c>
      <c r="BB381" s="835">
        <f t="shared" si="82"/>
        <v>0</v>
      </c>
      <c r="BC381" s="835">
        <f t="shared" si="82"/>
        <v>0</v>
      </c>
    </row>
    <row r="382" spans="20:55">
      <c r="T382" s="986" t="s">
        <v>2464</v>
      </c>
      <c r="U382" s="985">
        <v>0.8</v>
      </c>
      <c r="V382" s="985" t="s">
        <v>2465</v>
      </c>
      <c r="W382" s="986" t="s">
        <v>2385</v>
      </c>
      <c r="X382" s="954"/>
      <c r="Y382" s="955"/>
      <c r="AN382" s="2">
        <v>27</v>
      </c>
      <c r="AO382" s="891">
        <f t="shared" si="82"/>
        <v>6271</v>
      </c>
      <c r="AP382" s="891">
        <f t="shared" si="82"/>
        <v>0.38736363636363635</v>
      </c>
      <c r="AQ382" s="835">
        <f t="shared" si="82"/>
        <v>0</v>
      </c>
      <c r="AR382" s="891">
        <f t="shared" si="82"/>
        <v>932.27272727272725</v>
      </c>
      <c r="AS382" s="891">
        <f t="shared" si="82"/>
        <v>8.0363636363636373E-2</v>
      </c>
      <c r="AT382" s="835">
        <f t="shared" si="82"/>
        <v>0</v>
      </c>
      <c r="AU382" s="891">
        <f t="shared" si="82"/>
        <v>274.40000000000003</v>
      </c>
      <c r="AV382" s="891">
        <f t="shared" si="82"/>
        <v>1.2363636363636365E-2</v>
      </c>
      <c r="AW382" s="835">
        <f t="shared" si="82"/>
        <v>0</v>
      </c>
      <c r="AX382" s="835">
        <f t="shared" si="82"/>
        <v>0</v>
      </c>
      <c r="AY382" s="835">
        <f t="shared" si="82"/>
        <v>0</v>
      </c>
      <c r="AZ382" s="835">
        <f t="shared" si="82"/>
        <v>0</v>
      </c>
      <c r="BA382" s="835">
        <f t="shared" si="82"/>
        <v>0</v>
      </c>
      <c r="BB382" s="835">
        <f t="shared" si="82"/>
        <v>0</v>
      </c>
      <c r="BC382" s="835">
        <f t="shared" si="82"/>
        <v>0</v>
      </c>
    </row>
    <row r="383" spans="20:55" ht="44.5">
      <c r="T383" s="986" t="s">
        <v>2564</v>
      </c>
      <c r="U383" s="988" t="s">
        <v>2461</v>
      </c>
      <c r="V383" s="985" t="s">
        <v>2417</v>
      </c>
      <c r="W383" s="986" t="s">
        <v>2385</v>
      </c>
      <c r="X383" s="954"/>
      <c r="Y383" s="955"/>
      <c r="AN383" s="2">
        <v>28</v>
      </c>
      <c r="AO383" s="891">
        <f t="shared" si="82"/>
        <v>6305.3</v>
      </c>
      <c r="AP383" s="891">
        <f t="shared" si="82"/>
        <v>0.38890909090909093</v>
      </c>
      <c r="AQ383" s="835">
        <f t="shared" si="82"/>
        <v>0</v>
      </c>
      <c r="AR383" s="891">
        <f t="shared" si="82"/>
        <v>966.58181818181822</v>
      </c>
      <c r="AS383" s="891">
        <f t="shared" si="82"/>
        <v>8.1909090909090917E-2</v>
      </c>
      <c r="AT383" s="835">
        <f t="shared" si="82"/>
        <v>0</v>
      </c>
      <c r="AU383" s="891">
        <f t="shared" si="82"/>
        <v>308.70000000000005</v>
      </c>
      <c r="AV383" s="891">
        <f t="shared" si="82"/>
        <v>1.3909090909090911E-2</v>
      </c>
      <c r="AW383" s="835">
        <f t="shared" si="82"/>
        <v>0</v>
      </c>
      <c r="AX383" s="835">
        <f t="shared" si="82"/>
        <v>0</v>
      </c>
      <c r="AY383" s="835">
        <f t="shared" si="82"/>
        <v>0</v>
      </c>
      <c r="AZ383" s="835">
        <f t="shared" si="82"/>
        <v>0</v>
      </c>
      <c r="BA383" s="835">
        <f t="shared" si="82"/>
        <v>0</v>
      </c>
      <c r="BB383" s="835">
        <f t="shared" si="82"/>
        <v>0</v>
      </c>
      <c r="BC383" s="835">
        <f t="shared" si="82"/>
        <v>0</v>
      </c>
    </row>
    <row r="384" spans="20:55" ht="59">
      <c r="T384" s="986" t="s">
        <v>2565</v>
      </c>
      <c r="U384" s="988" t="s">
        <v>2463</v>
      </c>
      <c r="V384" s="985" t="s">
        <v>2417</v>
      </c>
      <c r="W384" s="986" t="s">
        <v>2385</v>
      </c>
      <c r="X384" s="954"/>
      <c r="Y384" s="955"/>
      <c r="AN384" s="2">
        <v>29</v>
      </c>
      <c r="AO384" s="891">
        <f t="shared" si="82"/>
        <v>6339.5999999999995</v>
      </c>
      <c r="AP384" s="891">
        <f t="shared" si="82"/>
        <v>0.39045454545454544</v>
      </c>
      <c r="AQ384" s="835">
        <f t="shared" si="82"/>
        <v>0</v>
      </c>
      <c r="AR384" s="891">
        <f t="shared" si="82"/>
        <v>1000.8909090909092</v>
      </c>
      <c r="AS384" s="891">
        <f t="shared" si="82"/>
        <v>8.3454545454545462E-2</v>
      </c>
      <c r="AT384" s="835">
        <f t="shared" si="82"/>
        <v>0</v>
      </c>
      <c r="AU384" s="891">
        <f t="shared" si="82"/>
        <v>343</v>
      </c>
      <c r="AV384" s="891">
        <f t="shared" si="82"/>
        <v>1.5454545454545455E-2</v>
      </c>
      <c r="AW384" s="835">
        <f t="shared" si="82"/>
        <v>0</v>
      </c>
      <c r="AX384" s="835">
        <f t="shared" si="82"/>
        <v>0</v>
      </c>
      <c r="AY384" s="835">
        <f t="shared" si="82"/>
        <v>0</v>
      </c>
      <c r="AZ384" s="835">
        <f t="shared" si="82"/>
        <v>0</v>
      </c>
      <c r="BA384" s="835">
        <f t="shared" si="82"/>
        <v>0</v>
      </c>
      <c r="BB384" s="835">
        <f t="shared" si="82"/>
        <v>0</v>
      </c>
      <c r="BC384" s="835">
        <f t="shared" si="82"/>
        <v>0</v>
      </c>
    </row>
    <row r="385" spans="18:55">
      <c r="T385" s="986" t="s">
        <v>2566</v>
      </c>
      <c r="U385" s="985">
        <v>0.746</v>
      </c>
      <c r="V385" s="985" t="s">
        <v>2567</v>
      </c>
      <c r="W385" s="986" t="s">
        <v>2385</v>
      </c>
      <c r="X385" s="954"/>
      <c r="Y385" s="955"/>
      <c r="AN385" s="2">
        <v>30</v>
      </c>
      <c r="AO385" s="2">
        <v>6373.9</v>
      </c>
      <c r="AP385" s="873">
        <v>0.39200000000000002</v>
      </c>
      <c r="AQ385" s="898">
        <v>0</v>
      </c>
      <c r="AR385" s="2">
        <v>1035.2</v>
      </c>
      <c r="AS385" s="873">
        <v>8.5000000000000006E-2</v>
      </c>
      <c r="AT385" s="898">
        <v>0</v>
      </c>
      <c r="AU385" s="2">
        <v>377.3</v>
      </c>
      <c r="AV385" s="873">
        <v>1.7000000000000001E-2</v>
      </c>
      <c r="AW385" s="874">
        <v>0</v>
      </c>
      <c r="AX385" s="2">
        <v>0</v>
      </c>
      <c r="AY385" s="873">
        <v>0</v>
      </c>
      <c r="AZ385" s="898">
        <v>0</v>
      </c>
      <c r="BA385" s="835">
        <v>0</v>
      </c>
      <c r="BB385" s="904">
        <v>0</v>
      </c>
      <c r="BC385" s="898">
        <v>0</v>
      </c>
    </row>
    <row r="386" spans="18:55">
      <c r="T386" s="986" t="s">
        <v>2568</v>
      </c>
      <c r="U386" s="985">
        <v>459.67</v>
      </c>
      <c r="V386" s="985" t="s">
        <v>2569</v>
      </c>
      <c r="W386" s="986" t="s">
        <v>2385</v>
      </c>
      <c r="X386" s="954"/>
      <c r="Y386" s="955"/>
      <c r="AN386" s="2">
        <v>31</v>
      </c>
      <c r="AO386" s="891">
        <f t="shared" ref="AO386:BC392" si="83">((($AN386-$AN$385)*(AO$393-AO$385))/($AN$393-$AN$385))+AO$385</f>
        <v>6392.2374999999993</v>
      </c>
      <c r="AP386" s="891">
        <f t="shared" si="83"/>
        <v>0.39424999999999999</v>
      </c>
      <c r="AQ386" s="835">
        <f t="shared" si="83"/>
        <v>0</v>
      </c>
      <c r="AR386" s="891">
        <f t="shared" si="83"/>
        <v>1053.5375000000001</v>
      </c>
      <c r="AS386" s="891">
        <f t="shared" si="83"/>
        <v>8.7125000000000008E-2</v>
      </c>
      <c r="AT386" s="835">
        <f t="shared" si="83"/>
        <v>0</v>
      </c>
      <c r="AU386" s="891">
        <f t="shared" si="83"/>
        <v>395.65000000000003</v>
      </c>
      <c r="AV386" s="891">
        <f t="shared" si="83"/>
        <v>1.9125000000000003E-2</v>
      </c>
      <c r="AW386" s="835">
        <f t="shared" si="83"/>
        <v>0</v>
      </c>
      <c r="AX386" s="891">
        <f t="shared" si="83"/>
        <v>18.350000000000001</v>
      </c>
      <c r="AY386" s="891">
        <f t="shared" si="83"/>
        <v>2.1250000000000002E-3</v>
      </c>
      <c r="AZ386" s="835">
        <f t="shared" si="83"/>
        <v>0</v>
      </c>
      <c r="BA386" s="835">
        <f t="shared" si="83"/>
        <v>0</v>
      </c>
      <c r="BB386" s="835">
        <f t="shared" si="83"/>
        <v>0</v>
      </c>
      <c r="BC386" s="835">
        <f t="shared" si="83"/>
        <v>0</v>
      </c>
    </row>
    <row r="387" spans="18:55" ht="16.5">
      <c r="T387" s="986" t="s">
        <v>2570</v>
      </c>
      <c r="U387" s="985">
        <v>32.200000000000003</v>
      </c>
      <c r="V387" s="985" t="s">
        <v>2571</v>
      </c>
      <c r="W387" s="986" t="s">
        <v>2385</v>
      </c>
      <c r="X387" s="954"/>
      <c r="Y387" s="955"/>
      <c r="AN387" s="2">
        <v>32</v>
      </c>
      <c r="AO387" s="891">
        <f t="shared" si="83"/>
        <v>6410.5749999999998</v>
      </c>
      <c r="AP387" s="891">
        <f t="shared" si="83"/>
        <v>0.39650000000000002</v>
      </c>
      <c r="AQ387" s="835">
        <f t="shared" si="83"/>
        <v>0</v>
      </c>
      <c r="AR387" s="891">
        <f t="shared" si="83"/>
        <v>1071.875</v>
      </c>
      <c r="AS387" s="891">
        <f t="shared" si="83"/>
        <v>8.9249999999999996E-2</v>
      </c>
      <c r="AT387" s="835">
        <f t="shared" si="83"/>
        <v>0</v>
      </c>
      <c r="AU387" s="891">
        <f t="shared" si="83"/>
        <v>414</v>
      </c>
      <c r="AV387" s="891">
        <f t="shared" si="83"/>
        <v>2.1250000000000002E-2</v>
      </c>
      <c r="AW387" s="835">
        <f t="shared" si="83"/>
        <v>0</v>
      </c>
      <c r="AX387" s="891">
        <f t="shared" si="83"/>
        <v>36.700000000000003</v>
      </c>
      <c r="AY387" s="891">
        <f t="shared" si="83"/>
        <v>4.2500000000000003E-3</v>
      </c>
      <c r="AZ387" s="835">
        <f t="shared" si="83"/>
        <v>0</v>
      </c>
      <c r="BA387" s="835">
        <f t="shared" si="83"/>
        <v>0</v>
      </c>
      <c r="BB387" s="835">
        <f t="shared" si="83"/>
        <v>0</v>
      </c>
      <c r="BC387" s="835">
        <f t="shared" si="83"/>
        <v>0</v>
      </c>
    </row>
    <row r="388" spans="18:55">
      <c r="T388" s="986" t="s">
        <v>2572</v>
      </c>
      <c r="U388" s="985">
        <v>88</v>
      </c>
      <c r="V388" s="985" t="s">
        <v>2573</v>
      </c>
      <c r="W388" s="986" t="s">
        <v>2385</v>
      </c>
      <c r="X388" s="954"/>
      <c r="Y388" s="955"/>
      <c r="AN388" s="2">
        <v>33</v>
      </c>
      <c r="AO388" s="891">
        <f t="shared" si="83"/>
        <v>6428.9125000000004</v>
      </c>
      <c r="AP388" s="891">
        <f t="shared" si="83"/>
        <v>0.39874999999999999</v>
      </c>
      <c r="AQ388" s="835">
        <f t="shared" si="83"/>
        <v>0</v>
      </c>
      <c r="AR388" s="891">
        <f t="shared" si="83"/>
        <v>1090.2125000000001</v>
      </c>
      <c r="AS388" s="891">
        <f t="shared" si="83"/>
        <v>9.1374999999999998E-2</v>
      </c>
      <c r="AT388" s="835">
        <f t="shared" si="83"/>
        <v>0</v>
      </c>
      <c r="AU388" s="891">
        <f t="shared" si="83"/>
        <v>432.35</v>
      </c>
      <c r="AV388" s="891">
        <f t="shared" si="83"/>
        <v>2.3375E-2</v>
      </c>
      <c r="AW388" s="835">
        <f t="shared" si="83"/>
        <v>0</v>
      </c>
      <c r="AX388" s="891">
        <f t="shared" si="83"/>
        <v>55.050000000000004</v>
      </c>
      <c r="AY388" s="891">
        <f t="shared" si="83"/>
        <v>6.3750000000000005E-3</v>
      </c>
      <c r="AZ388" s="835">
        <f t="shared" si="83"/>
        <v>0</v>
      </c>
      <c r="BA388" s="835">
        <f t="shared" si="83"/>
        <v>0</v>
      </c>
      <c r="BB388" s="835">
        <f t="shared" si="83"/>
        <v>0</v>
      </c>
      <c r="BC388" s="835">
        <f t="shared" si="83"/>
        <v>0</v>
      </c>
    </row>
    <row r="389" spans="18:55" ht="16.5">
      <c r="T389" s="986" t="s">
        <v>2574</v>
      </c>
      <c r="U389" s="985">
        <v>0.3</v>
      </c>
      <c r="V389" s="985" t="s">
        <v>2417</v>
      </c>
      <c r="W389" s="986" t="s">
        <v>2385</v>
      </c>
      <c r="X389" s="954"/>
      <c r="Y389" s="955"/>
      <c r="AN389" s="2">
        <v>34</v>
      </c>
      <c r="AO389" s="891">
        <f t="shared" si="83"/>
        <v>6447.25</v>
      </c>
      <c r="AP389" s="891">
        <f t="shared" si="83"/>
        <v>0.40100000000000002</v>
      </c>
      <c r="AQ389" s="835">
        <f t="shared" si="83"/>
        <v>0</v>
      </c>
      <c r="AR389" s="891">
        <f t="shared" si="83"/>
        <v>1108.5500000000002</v>
      </c>
      <c r="AS389" s="891">
        <f t="shared" si="83"/>
        <v>9.35E-2</v>
      </c>
      <c r="AT389" s="835">
        <f t="shared" si="83"/>
        <v>0</v>
      </c>
      <c r="AU389" s="891">
        <f t="shared" si="83"/>
        <v>450.70000000000005</v>
      </c>
      <c r="AV389" s="891">
        <f t="shared" si="83"/>
        <v>2.5500000000000002E-2</v>
      </c>
      <c r="AW389" s="835">
        <f t="shared" si="83"/>
        <v>0</v>
      </c>
      <c r="AX389" s="891">
        <f t="shared" si="83"/>
        <v>73.400000000000006</v>
      </c>
      <c r="AY389" s="891">
        <f t="shared" si="83"/>
        <v>8.5000000000000006E-3</v>
      </c>
      <c r="AZ389" s="835">
        <f t="shared" si="83"/>
        <v>0</v>
      </c>
      <c r="BA389" s="835">
        <f t="shared" si="83"/>
        <v>0</v>
      </c>
      <c r="BB389" s="835">
        <f t="shared" si="83"/>
        <v>0</v>
      </c>
      <c r="BC389" s="835">
        <f t="shared" si="83"/>
        <v>0</v>
      </c>
    </row>
    <row r="390" spans="18:55" ht="16.5">
      <c r="T390" s="986" t="s">
        <v>2575</v>
      </c>
      <c r="U390" s="985">
        <v>0.4</v>
      </c>
      <c r="V390" s="985" t="s">
        <v>2417</v>
      </c>
      <c r="W390" s="986" t="s">
        <v>2385</v>
      </c>
      <c r="X390" s="954"/>
      <c r="Y390" s="955"/>
      <c r="AN390" s="2">
        <v>35</v>
      </c>
      <c r="AO390" s="891">
        <f t="shared" si="83"/>
        <v>6465.5874999999996</v>
      </c>
      <c r="AP390" s="891">
        <f t="shared" si="83"/>
        <v>0.40325</v>
      </c>
      <c r="AQ390" s="835">
        <f t="shared" si="83"/>
        <v>0</v>
      </c>
      <c r="AR390" s="891">
        <f t="shared" si="83"/>
        <v>1126.8875</v>
      </c>
      <c r="AS390" s="891">
        <f t="shared" si="83"/>
        <v>9.5625000000000002E-2</v>
      </c>
      <c r="AT390" s="835">
        <f t="shared" si="83"/>
        <v>0</v>
      </c>
      <c r="AU390" s="891">
        <f t="shared" si="83"/>
        <v>469.05</v>
      </c>
      <c r="AV390" s="891">
        <f t="shared" si="83"/>
        <v>2.7625000000000004E-2</v>
      </c>
      <c r="AW390" s="835">
        <f t="shared" si="83"/>
        <v>0</v>
      </c>
      <c r="AX390" s="891">
        <f t="shared" si="83"/>
        <v>91.75</v>
      </c>
      <c r="AY390" s="891">
        <f t="shared" si="83"/>
        <v>1.0625000000000001E-2</v>
      </c>
      <c r="AZ390" s="835">
        <f t="shared" si="83"/>
        <v>0</v>
      </c>
      <c r="BA390" s="835">
        <f t="shared" si="83"/>
        <v>0</v>
      </c>
      <c r="BB390" s="835">
        <f t="shared" si="83"/>
        <v>0</v>
      </c>
      <c r="BC390" s="835">
        <f t="shared" si="83"/>
        <v>0</v>
      </c>
    </row>
    <row r="391" spans="18:55">
      <c r="T391" s="954"/>
      <c r="U391" s="956"/>
      <c r="V391" s="954"/>
      <c r="W391" s="954"/>
      <c r="X391" s="954"/>
      <c r="Y391" s="955"/>
      <c r="AN391" s="2">
        <v>36</v>
      </c>
      <c r="AO391" s="891">
        <f t="shared" si="83"/>
        <v>6483.9250000000002</v>
      </c>
      <c r="AP391" s="891">
        <f t="shared" si="83"/>
        <v>0.40549999999999997</v>
      </c>
      <c r="AQ391" s="835">
        <f t="shared" si="83"/>
        <v>0</v>
      </c>
      <c r="AR391" s="891">
        <f t="shared" si="83"/>
        <v>1145.2250000000001</v>
      </c>
      <c r="AS391" s="891">
        <f t="shared" si="83"/>
        <v>9.7750000000000004E-2</v>
      </c>
      <c r="AT391" s="835">
        <f t="shared" si="83"/>
        <v>0</v>
      </c>
      <c r="AU391" s="891">
        <f t="shared" si="83"/>
        <v>487.40000000000003</v>
      </c>
      <c r="AV391" s="891">
        <f t="shared" si="83"/>
        <v>2.9750000000000002E-2</v>
      </c>
      <c r="AW391" s="835">
        <f t="shared" si="83"/>
        <v>0</v>
      </c>
      <c r="AX391" s="891">
        <f t="shared" si="83"/>
        <v>110.10000000000001</v>
      </c>
      <c r="AY391" s="891">
        <f t="shared" si="83"/>
        <v>1.2750000000000001E-2</v>
      </c>
      <c r="AZ391" s="835">
        <f t="shared" si="83"/>
        <v>0</v>
      </c>
      <c r="BA391" s="835">
        <f t="shared" si="83"/>
        <v>0</v>
      </c>
      <c r="BB391" s="835">
        <f t="shared" si="83"/>
        <v>0</v>
      </c>
      <c r="BC391" s="835">
        <f t="shared" si="83"/>
        <v>0</v>
      </c>
    </row>
    <row r="392" spans="18:55">
      <c r="T392" s="1328" t="s">
        <v>2576</v>
      </c>
      <c r="U392" s="1328"/>
      <c r="V392" s="1328"/>
      <c r="W392" s="954"/>
      <c r="X392" s="954"/>
      <c r="Y392" s="955"/>
      <c r="AN392" s="2">
        <v>37</v>
      </c>
      <c r="AO392" s="891">
        <f t="shared" si="83"/>
        <v>6502.2625000000007</v>
      </c>
      <c r="AP392" s="891">
        <f t="shared" si="83"/>
        <v>0.40775</v>
      </c>
      <c r="AQ392" s="835">
        <f t="shared" si="83"/>
        <v>0</v>
      </c>
      <c r="AR392" s="891">
        <f t="shared" si="83"/>
        <v>1163.5625</v>
      </c>
      <c r="AS392" s="891">
        <f t="shared" si="83"/>
        <v>9.9874999999999992E-2</v>
      </c>
      <c r="AT392" s="835">
        <f t="shared" si="83"/>
        <v>0</v>
      </c>
      <c r="AU392" s="891">
        <f t="shared" si="83"/>
        <v>505.75</v>
      </c>
      <c r="AV392" s="891">
        <f t="shared" si="83"/>
        <v>3.1875000000000001E-2</v>
      </c>
      <c r="AW392" s="835">
        <f t="shared" si="83"/>
        <v>0</v>
      </c>
      <c r="AX392" s="891">
        <f t="shared" si="83"/>
        <v>128.45000000000002</v>
      </c>
      <c r="AY392" s="891">
        <f t="shared" si="83"/>
        <v>1.4875000000000001E-2</v>
      </c>
      <c r="AZ392" s="835">
        <f t="shared" si="83"/>
        <v>0</v>
      </c>
      <c r="BA392" s="835">
        <f t="shared" si="83"/>
        <v>0</v>
      </c>
      <c r="BB392" s="835">
        <f t="shared" si="83"/>
        <v>0</v>
      </c>
      <c r="BC392" s="835">
        <f t="shared" si="83"/>
        <v>0</v>
      </c>
    </row>
    <row r="393" spans="18:55" ht="16.5">
      <c r="T393" s="990" t="s">
        <v>2577</v>
      </c>
      <c r="U393" s="991" t="s">
        <v>2578</v>
      </c>
      <c r="V393" s="992" t="s">
        <v>2579</v>
      </c>
      <c r="W393" s="954"/>
      <c r="X393" s="954"/>
      <c r="Y393" s="955"/>
      <c r="AN393" s="2">
        <v>38</v>
      </c>
      <c r="AO393" s="2">
        <v>6520.6</v>
      </c>
      <c r="AP393" s="873">
        <v>0.41</v>
      </c>
      <c r="AQ393" s="874">
        <v>0</v>
      </c>
      <c r="AR393" s="2">
        <v>1181.9000000000001</v>
      </c>
      <c r="AS393" s="873">
        <v>0.10199999999999999</v>
      </c>
      <c r="AT393" s="874">
        <v>0</v>
      </c>
      <c r="AU393" s="2">
        <v>524.1</v>
      </c>
      <c r="AV393" s="873">
        <v>3.4000000000000002E-2</v>
      </c>
      <c r="AW393" s="874">
        <v>0</v>
      </c>
      <c r="AX393" s="2">
        <v>146.80000000000001</v>
      </c>
      <c r="AY393" s="873">
        <v>1.7000000000000001E-2</v>
      </c>
      <c r="AZ393" s="874">
        <v>0</v>
      </c>
      <c r="BA393" s="2">
        <v>0</v>
      </c>
      <c r="BB393" s="873">
        <v>0</v>
      </c>
      <c r="BC393" s="874">
        <v>0</v>
      </c>
    </row>
    <row r="394" spans="18:55">
      <c r="T394" s="938" t="s">
        <v>2580</v>
      </c>
      <c r="U394" s="993" t="s">
        <v>2581</v>
      </c>
      <c r="V394" s="993" t="s">
        <v>2582</v>
      </c>
      <c r="W394" s="954"/>
      <c r="X394" s="954"/>
      <c r="Y394" s="955"/>
      <c r="AN394" s="2">
        <v>39</v>
      </c>
      <c r="AO394" s="891">
        <f t="shared" ref="AO394:BC403" si="84">((($AN394-$AN$393)*(AO$404-AO$393))/($AN$404-$AN$393))+AO$393</f>
        <v>6532.0727272727272</v>
      </c>
      <c r="AP394" s="891">
        <f t="shared" si="84"/>
        <v>0.41</v>
      </c>
      <c r="AQ394" s="835">
        <f t="shared" si="84"/>
        <v>0</v>
      </c>
      <c r="AR394" s="891">
        <f t="shared" si="84"/>
        <v>1193.3636363636365</v>
      </c>
      <c r="AS394" s="891">
        <f t="shared" si="84"/>
        <v>0.10199999999999999</v>
      </c>
      <c r="AT394" s="835">
        <f t="shared" si="84"/>
        <v>0</v>
      </c>
      <c r="AU394" s="891">
        <f t="shared" si="84"/>
        <v>535.56363636363642</v>
      </c>
      <c r="AV394" s="891">
        <f t="shared" si="84"/>
        <v>3.4000000000000002E-2</v>
      </c>
      <c r="AW394" s="835">
        <f t="shared" si="84"/>
        <v>0</v>
      </c>
      <c r="AX394" s="891">
        <f t="shared" si="84"/>
        <v>158.26363636363638</v>
      </c>
      <c r="AY394" s="891">
        <f t="shared" si="84"/>
        <v>1.7000000000000001E-2</v>
      </c>
      <c r="AZ394" s="835">
        <f t="shared" si="84"/>
        <v>0</v>
      </c>
      <c r="BA394" s="891">
        <f t="shared" si="84"/>
        <v>11.463636363636363</v>
      </c>
      <c r="BB394" s="835">
        <f t="shared" si="84"/>
        <v>0</v>
      </c>
      <c r="BC394" s="835">
        <f t="shared" si="84"/>
        <v>0</v>
      </c>
    </row>
    <row r="395" spans="18:55">
      <c r="AN395" s="2">
        <v>40</v>
      </c>
      <c r="AO395" s="891">
        <f t="shared" si="84"/>
        <v>6543.545454545455</v>
      </c>
      <c r="AP395" s="891">
        <f t="shared" si="84"/>
        <v>0.41</v>
      </c>
      <c r="AQ395" s="835">
        <f t="shared" si="84"/>
        <v>0</v>
      </c>
      <c r="AR395" s="891">
        <f t="shared" si="84"/>
        <v>1204.8272727272729</v>
      </c>
      <c r="AS395" s="891">
        <f t="shared" si="84"/>
        <v>0.10199999999999999</v>
      </c>
      <c r="AT395" s="835">
        <f t="shared" si="84"/>
        <v>0</v>
      </c>
      <c r="AU395" s="891">
        <f t="shared" si="84"/>
        <v>547.0272727272727</v>
      </c>
      <c r="AV395" s="891">
        <f t="shared" si="84"/>
        <v>3.4000000000000002E-2</v>
      </c>
      <c r="AW395" s="835">
        <f t="shared" si="84"/>
        <v>0</v>
      </c>
      <c r="AX395" s="891">
        <f t="shared" si="84"/>
        <v>169.72727272727275</v>
      </c>
      <c r="AY395" s="891">
        <f t="shared" si="84"/>
        <v>1.7000000000000001E-2</v>
      </c>
      <c r="AZ395" s="835">
        <f t="shared" si="84"/>
        <v>0</v>
      </c>
      <c r="BA395" s="891">
        <f t="shared" si="84"/>
        <v>22.927272727272726</v>
      </c>
      <c r="BB395" s="835">
        <f t="shared" si="84"/>
        <v>0</v>
      </c>
      <c r="BC395" s="835">
        <f t="shared" si="84"/>
        <v>0</v>
      </c>
    </row>
    <row r="396" spans="18:55">
      <c r="AN396" s="2">
        <v>41</v>
      </c>
      <c r="AO396" s="891">
        <f t="shared" si="84"/>
        <v>6555.0181818181818</v>
      </c>
      <c r="AP396" s="891">
        <f t="shared" si="84"/>
        <v>0.41</v>
      </c>
      <c r="AQ396" s="835">
        <f t="shared" si="84"/>
        <v>0</v>
      </c>
      <c r="AR396" s="891">
        <f t="shared" si="84"/>
        <v>1216.2909090909091</v>
      </c>
      <c r="AS396" s="891">
        <f t="shared" si="84"/>
        <v>0.10199999999999999</v>
      </c>
      <c r="AT396" s="835">
        <f t="shared" si="84"/>
        <v>0</v>
      </c>
      <c r="AU396" s="891">
        <f t="shared" si="84"/>
        <v>558.4909090909091</v>
      </c>
      <c r="AV396" s="891">
        <f t="shared" si="84"/>
        <v>3.4000000000000002E-2</v>
      </c>
      <c r="AW396" s="835">
        <f t="shared" si="84"/>
        <v>0</v>
      </c>
      <c r="AX396" s="891">
        <f t="shared" si="84"/>
        <v>181.19090909090909</v>
      </c>
      <c r="AY396" s="891">
        <f t="shared" si="84"/>
        <v>1.7000000000000001E-2</v>
      </c>
      <c r="AZ396" s="835">
        <f t="shared" si="84"/>
        <v>0</v>
      </c>
      <c r="BA396" s="891">
        <f t="shared" si="84"/>
        <v>34.390909090909084</v>
      </c>
      <c r="BB396" s="835">
        <f t="shared" si="84"/>
        <v>0</v>
      </c>
      <c r="BC396" s="835">
        <f t="shared" si="84"/>
        <v>0</v>
      </c>
    </row>
    <row r="397" spans="18:55">
      <c r="AN397" s="2">
        <v>42</v>
      </c>
      <c r="AO397" s="891">
        <f t="shared" si="84"/>
        <v>6566.4909090909096</v>
      </c>
      <c r="AP397" s="891">
        <f t="shared" si="84"/>
        <v>0.41</v>
      </c>
      <c r="AQ397" s="835">
        <f t="shared" si="84"/>
        <v>0</v>
      </c>
      <c r="AR397" s="891">
        <f t="shared" si="84"/>
        <v>1227.7545454545455</v>
      </c>
      <c r="AS397" s="891">
        <f t="shared" si="84"/>
        <v>0.10199999999999999</v>
      </c>
      <c r="AT397" s="835">
        <f t="shared" si="84"/>
        <v>0</v>
      </c>
      <c r="AU397" s="891">
        <f t="shared" si="84"/>
        <v>569.9545454545455</v>
      </c>
      <c r="AV397" s="891">
        <f t="shared" si="84"/>
        <v>3.4000000000000002E-2</v>
      </c>
      <c r="AW397" s="835">
        <f t="shared" si="84"/>
        <v>0</v>
      </c>
      <c r="AX397" s="891">
        <f t="shared" si="84"/>
        <v>192.65454545454546</v>
      </c>
      <c r="AY397" s="891">
        <f t="shared" si="84"/>
        <v>1.7000000000000001E-2</v>
      </c>
      <c r="AZ397" s="835">
        <f t="shared" si="84"/>
        <v>0</v>
      </c>
      <c r="BA397" s="891">
        <f t="shared" si="84"/>
        <v>45.854545454545452</v>
      </c>
      <c r="BB397" s="835">
        <f t="shared" si="84"/>
        <v>0</v>
      </c>
      <c r="BC397" s="835">
        <f t="shared" si="84"/>
        <v>0</v>
      </c>
    </row>
    <row r="398" spans="18:55">
      <c r="AN398" s="2">
        <v>43</v>
      </c>
      <c r="AO398" s="891">
        <f t="shared" si="84"/>
        <v>6577.9636363636364</v>
      </c>
      <c r="AP398" s="891">
        <f t="shared" si="84"/>
        <v>0.41</v>
      </c>
      <c r="AQ398" s="835">
        <f t="shared" si="84"/>
        <v>0</v>
      </c>
      <c r="AR398" s="891">
        <f t="shared" si="84"/>
        <v>1239.2181818181818</v>
      </c>
      <c r="AS398" s="891">
        <f t="shared" si="84"/>
        <v>0.10199999999999999</v>
      </c>
      <c r="AT398" s="835">
        <f t="shared" si="84"/>
        <v>0</v>
      </c>
      <c r="AU398" s="891">
        <f t="shared" si="84"/>
        <v>581.41818181818189</v>
      </c>
      <c r="AV398" s="891">
        <f t="shared" si="84"/>
        <v>3.4000000000000002E-2</v>
      </c>
      <c r="AW398" s="835">
        <f t="shared" si="84"/>
        <v>0</v>
      </c>
      <c r="AX398" s="891">
        <f t="shared" si="84"/>
        <v>204.11818181818182</v>
      </c>
      <c r="AY398" s="891">
        <f t="shared" si="84"/>
        <v>1.7000000000000001E-2</v>
      </c>
      <c r="AZ398" s="835">
        <f t="shared" si="84"/>
        <v>0</v>
      </c>
      <c r="BA398" s="891">
        <f t="shared" si="84"/>
        <v>57.31818181818182</v>
      </c>
      <c r="BB398" s="835">
        <f t="shared" si="84"/>
        <v>0</v>
      </c>
      <c r="BC398" s="835">
        <f t="shared" si="84"/>
        <v>0</v>
      </c>
    </row>
    <row r="399" spans="18:55">
      <c r="R399" s="1260" t="s">
        <v>1575</v>
      </c>
      <c r="S399" s="1260"/>
      <c r="T399" s="1260"/>
      <c r="U399" s="1260"/>
      <c r="V399" s="1260"/>
      <c r="W399" s="1260"/>
      <c r="X399" s="1260"/>
      <c r="Y399" s="1260"/>
      <c r="Z399" s="1260"/>
      <c r="AA399" s="1260"/>
      <c r="AB399" s="1260"/>
      <c r="AC399" s="1260"/>
      <c r="AD399" s="1260"/>
      <c r="AE399" s="1260"/>
      <c r="AF399" s="1260"/>
      <c r="AG399" s="1261"/>
      <c r="AN399" s="2">
        <v>44</v>
      </c>
      <c r="AO399" s="891">
        <f t="shared" si="84"/>
        <v>6589.4363636363641</v>
      </c>
      <c r="AP399" s="891">
        <f t="shared" si="84"/>
        <v>0.41</v>
      </c>
      <c r="AQ399" s="835">
        <f t="shared" si="84"/>
        <v>0</v>
      </c>
      <c r="AR399" s="891">
        <f t="shared" si="84"/>
        <v>1250.6818181818182</v>
      </c>
      <c r="AS399" s="891">
        <f t="shared" si="84"/>
        <v>0.10199999999999999</v>
      </c>
      <c r="AT399" s="835">
        <f t="shared" si="84"/>
        <v>0</v>
      </c>
      <c r="AU399" s="891">
        <f t="shared" si="84"/>
        <v>592.88181818181818</v>
      </c>
      <c r="AV399" s="891">
        <f t="shared" si="84"/>
        <v>3.4000000000000002E-2</v>
      </c>
      <c r="AW399" s="835">
        <f t="shared" si="84"/>
        <v>0</v>
      </c>
      <c r="AX399" s="891">
        <f t="shared" si="84"/>
        <v>215.58181818181816</v>
      </c>
      <c r="AY399" s="891">
        <f t="shared" si="84"/>
        <v>1.7000000000000001E-2</v>
      </c>
      <c r="AZ399" s="835">
        <f t="shared" si="84"/>
        <v>0</v>
      </c>
      <c r="BA399" s="891">
        <f t="shared" si="84"/>
        <v>68.781818181818167</v>
      </c>
      <c r="BB399" s="835">
        <f t="shared" si="84"/>
        <v>0</v>
      </c>
      <c r="BC399" s="835">
        <f t="shared" si="84"/>
        <v>0</v>
      </c>
    </row>
    <row r="400" spans="18:55">
      <c r="AN400" s="2">
        <v>45</v>
      </c>
      <c r="AO400" s="891">
        <f t="shared" si="84"/>
        <v>6600.909090909091</v>
      </c>
      <c r="AP400" s="891">
        <f t="shared" si="84"/>
        <v>0.41</v>
      </c>
      <c r="AQ400" s="835">
        <f t="shared" si="84"/>
        <v>0</v>
      </c>
      <c r="AR400" s="891">
        <f t="shared" si="84"/>
        <v>1262.1454545454546</v>
      </c>
      <c r="AS400" s="891">
        <f t="shared" si="84"/>
        <v>0.10199999999999999</v>
      </c>
      <c r="AT400" s="835">
        <f t="shared" si="84"/>
        <v>0</v>
      </c>
      <c r="AU400" s="891">
        <f t="shared" si="84"/>
        <v>604.34545454545457</v>
      </c>
      <c r="AV400" s="891">
        <f t="shared" si="84"/>
        <v>3.4000000000000002E-2</v>
      </c>
      <c r="AW400" s="835">
        <f t="shared" si="84"/>
        <v>0</v>
      </c>
      <c r="AX400" s="891">
        <f t="shared" si="84"/>
        <v>227.04545454545456</v>
      </c>
      <c r="AY400" s="891">
        <f t="shared" si="84"/>
        <v>1.7000000000000001E-2</v>
      </c>
      <c r="AZ400" s="835">
        <f t="shared" si="84"/>
        <v>0</v>
      </c>
      <c r="BA400" s="891">
        <f t="shared" si="84"/>
        <v>80.245454545454535</v>
      </c>
      <c r="BB400" s="835">
        <f t="shared" si="84"/>
        <v>0</v>
      </c>
      <c r="BC400" s="835">
        <f t="shared" si="84"/>
        <v>0</v>
      </c>
    </row>
    <row r="401" spans="18:55" ht="15" thickBot="1">
      <c r="R401" s="893"/>
      <c r="S401" s="893"/>
      <c r="T401" s="905" t="s">
        <v>1768</v>
      </c>
      <c r="U401" s="906"/>
      <c r="V401" s="906"/>
      <c r="W401" s="906"/>
      <c r="X401" s="906"/>
      <c r="Y401" s="906"/>
      <c r="Z401" s="907" t="s">
        <v>1769</v>
      </c>
      <c r="AA401" s="906"/>
      <c r="AB401" s="906"/>
      <c r="AC401" s="906"/>
      <c r="AD401" s="906"/>
      <c r="AE401" s="906"/>
      <c r="AN401" s="2">
        <v>46</v>
      </c>
      <c r="AO401" s="891">
        <f t="shared" si="84"/>
        <v>6612.3818181818187</v>
      </c>
      <c r="AP401" s="891">
        <f t="shared" si="84"/>
        <v>0.41</v>
      </c>
      <c r="AQ401" s="835">
        <f t="shared" si="84"/>
        <v>0</v>
      </c>
      <c r="AR401" s="891">
        <f t="shared" si="84"/>
        <v>1273.609090909091</v>
      </c>
      <c r="AS401" s="891">
        <f t="shared" si="84"/>
        <v>0.10199999999999999</v>
      </c>
      <c r="AT401" s="835">
        <f t="shared" si="84"/>
        <v>0</v>
      </c>
      <c r="AU401" s="891">
        <f t="shared" si="84"/>
        <v>615.80909090909097</v>
      </c>
      <c r="AV401" s="891">
        <f t="shared" si="84"/>
        <v>3.4000000000000002E-2</v>
      </c>
      <c r="AW401" s="835">
        <f t="shared" si="84"/>
        <v>0</v>
      </c>
      <c r="AX401" s="891">
        <f t="shared" si="84"/>
        <v>238.5090909090909</v>
      </c>
      <c r="AY401" s="891">
        <f t="shared" si="84"/>
        <v>1.7000000000000001E-2</v>
      </c>
      <c r="AZ401" s="835">
        <f t="shared" si="84"/>
        <v>0</v>
      </c>
      <c r="BA401" s="891">
        <f t="shared" si="84"/>
        <v>91.709090909090904</v>
      </c>
      <c r="BB401" s="835">
        <f t="shared" si="84"/>
        <v>0</v>
      </c>
      <c r="BC401" s="835">
        <f t="shared" si="84"/>
        <v>0</v>
      </c>
    </row>
    <row r="402" spans="18:55" ht="15" thickBot="1">
      <c r="R402" s="525" t="s">
        <v>1767</v>
      </c>
      <c r="S402" s="523" t="s">
        <v>303</v>
      </c>
      <c r="T402" s="526">
        <v>0.5</v>
      </c>
      <c r="U402" s="526">
        <v>1</v>
      </c>
      <c r="V402" s="528">
        <v>1.5</v>
      </c>
      <c r="W402" s="528">
        <v>2</v>
      </c>
      <c r="X402" s="526">
        <v>2.5</v>
      </c>
      <c r="Y402" s="535">
        <v>3</v>
      </c>
      <c r="Z402" s="542">
        <v>0.5</v>
      </c>
      <c r="AA402" s="526">
        <v>1</v>
      </c>
      <c r="AB402" s="528">
        <v>1.5</v>
      </c>
      <c r="AC402" s="528">
        <v>2</v>
      </c>
      <c r="AD402" s="526">
        <v>2.5</v>
      </c>
      <c r="AE402" s="527">
        <v>3</v>
      </c>
      <c r="AN402" s="2">
        <v>47</v>
      </c>
      <c r="AO402" s="891">
        <f t="shared" si="84"/>
        <v>6623.8545454545456</v>
      </c>
      <c r="AP402" s="891">
        <f t="shared" si="84"/>
        <v>0.41</v>
      </c>
      <c r="AQ402" s="835">
        <f t="shared" si="84"/>
        <v>0</v>
      </c>
      <c r="AR402" s="891">
        <f t="shared" si="84"/>
        <v>1285.0727272727272</v>
      </c>
      <c r="AS402" s="891">
        <f t="shared" si="84"/>
        <v>0.10199999999999999</v>
      </c>
      <c r="AT402" s="835">
        <f t="shared" si="84"/>
        <v>0</v>
      </c>
      <c r="AU402" s="891">
        <f t="shared" si="84"/>
        <v>627.27272727272725</v>
      </c>
      <c r="AV402" s="891">
        <f t="shared" si="84"/>
        <v>3.4000000000000002E-2</v>
      </c>
      <c r="AW402" s="835">
        <f t="shared" si="84"/>
        <v>0</v>
      </c>
      <c r="AX402" s="891">
        <f t="shared" si="84"/>
        <v>249.97272727272724</v>
      </c>
      <c r="AY402" s="891">
        <f t="shared" si="84"/>
        <v>1.7000000000000001E-2</v>
      </c>
      <c r="AZ402" s="835">
        <f t="shared" si="84"/>
        <v>0</v>
      </c>
      <c r="BA402" s="891">
        <f t="shared" si="84"/>
        <v>103.17272727272726</v>
      </c>
      <c r="BB402" s="835">
        <f t="shared" si="84"/>
        <v>0</v>
      </c>
      <c r="BC402" s="835">
        <f t="shared" si="84"/>
        <v>0</v>
      </c>
    </row>
    <row r="403" spans="18:55" ht="15" thickTop="1">
      <c r="R403" s="894">
        <v>0.5</v>
      </c>
      <c r="S403" s="895">
        <v>0.44</v>
      </c>
      <c r="T403" s="521">
        <v>0.13</v>
      </c>
      <c r="U403" s="521">
        <v>0.09</v>
      </c>
      <c r="V403" s="529">
        <v>0.08</v>
      </c>
      <c r="W403" s="529">
        <v>7.0000000000000007E-2</v>
      </c>
      <c r="X403" s="530">
        <v>0.06</v>
      </c>
      <c r="Y403" s="536">
        <v>0.06</v>
      </c>
      <c r="Z403" s="539">
        <v>0.15</v>
      </c>
      <c r="AA403" s="521">
        <v>0.12</v>
      </c>
      <c r="AB403" s="521">
        <v>0.1</v>
      </c>
      <c r="AC403" s="530">
        <v>0.09</v>
      </c>
      <c r="AD403" s="530">
        <v>0.09</v>
      </c>
      <c r="AE403" s="522">
        <v>0.08</v>
      </c>
      <c r="AF403" s="892"/>
      <c r="AG403" s="892"/>
      <c r="AN403" s="2">
        <v>48</v>
      </c>
      <c r="AO403" s="891">
        <f t="shared" si="84"/>
        <v>6635.3272727272733</v>
      </c>
      <c r="AP403" s="891">
        <f t="shared" si="84"/>
        <v>0.41</v>
      </c>
      <c r="AQ403" s="835">
        <f t="shared" si="84"/>
        <v>0</v>
      </c>
      <c r="AR403" s="891">
        <f t="shared" si="84"/>
        <v>1296.5363636363636</v>
      </c>
      <c r="AS403" s="891">
        <f t="shared" si="84"/>
        <v>0.10199999999999999</v>
      </c>
      <c r="AT403" s="835">
        <f t="shared" si="84"/>
        <v>0</v>
      </c>
      <c r="AU403" s="891">
        <f t="shared" si="84"/>
        <v>638.73636363636365</v>
      </c>
      <c r="AV403" s="891">
        <f t="shared" si="84"/>
        <v>3.4000000000000002E-2</v>
      </c>
      <c r="AW403" s="835">
        <f t="shared" si="84"/>
        <v>0</v>
      </c>
      <c r="AX403" s="891">
        <f t="shared" si="84"/>
        <v>261.43636363636358</v>
      </c>
      <c r="AY403" s="891">
        <f t="shared" si="84"/>
        <v>1.7000000000000001E-2</v>
      </c>
      <c r="AZ403" s="835">
        <f t="shared" si="84"/>
        <v>0</v>
      </c>
      <c r="BA403" s="891">
        <f t="shared" si="84"/>
        <v>114.63636363636364</v>
      </c>
      <c r="BB403" s="835">
        <f t="shared" si="84"/>
        <v>0</v>
      </c>
      <c r="BC403" s="835">
        <f t="shared" si="84"/>
        <v>0</v>
      </c>
    </row>
    <row r="404" spans="18:55">
      <c r="R404" s="894">
        <v>0.75</v>
      </c>
      <c r="S404" s="895">
        <v>0.54</v>
      </c>
      <c r="T404" s="521">
        <v>0.14000000000000001</v>
      </c>
      <c r="U404" s="521">
        <v>0.11</v>
      </c>
      <c r="V404" s="529">
        <v>0.09</v>
      </c>
      <c r="W404" s="529">
        <v>0.08</v>
      </c>
      <c r="X404" s="530">
        <v>7.0000000000000007E-2</v>
      </c>
      <c r="Y404" s="536">
        <v>7.0000000000000007E-2</v>
      </c>
      <c r="Z404" s="539">
        <v>0.17</v>
      </c>
      <c r="AA404" s="521">
        <v>0.13</v>
      </c>
      <c r="AB404" s="521">
        <v>0.11</v>
      </c>
      <c r="AC404" s="530">
        <v>0.1</v>
      </c>
      <c r="AD404" s="530">
        <v>0.1</v>
      </c>
      <c r="AE404" s="522">
        <v>0.09</v>
      </c>
      <c r="AN404" s="2">
        <v>49</v>
      </c>
      <c r="AO404" s="2">
        <v>6646.8</v>
      </c>
      <c r="AP404" s="873">
        <v>0.41</v>
      </c>
      <c r="AQ404" s="874">
        <v>0</v>
      </c>
      <c r="AR404" s="2">
        <v>1308</v>
      </c>
      <c r="AS404" s="873">
        <v>0.10199999999999999</v>
      </c>
      <c r="AT404" s="874">
        <v>0</v>
      </c>
      <c r="AU404" s="2">
        <v>650.20000000000005</v>
      </c>
      <c r="AV404" s="873">
        <v>3.4000000000000002E-2</v>
      </c>
      <c r="AW404" s="874">
        <v>0</v>
      </c>
      <c r="AX404" s="2">
        <v>272.89999999999998</v>
      </c>
      <c r="AY404" s="873">
        <v>1.7000000000000001E-2</v>
      </c>
      <c r="AZ404" s="874">
        <v>0</v>
      </c>
      <c r="BA404" s="2">
        <v>126.1</v>
      </c>
      <c r="BB404" s="873">
        <v>0</v>
      </c>
      <c r="BC404" s="874">
        <v>0</v>
      </c>
    </row>
    <row r="405" spans="18:55">
      <c r="R405" s="895">
        <v>1</v>
      </c>
      <c r="S405" s="895">
        <v>0.65</v>
      </c>
      <c r="T405" s="518">
        <v>0.17</v>
      </c>
      <c r="U405" s="518">
        <v>0.12</v>
      </c>
      <c r="V405" s="531">
        <v>0.1</v>
      </c>
      <c r="W405" s="531">
        <v>0.09</v>
      </c>
      <c r="X405" s="257">
        <v>0.08</v>
      </c>
      <c r="Y405" s="537">
        <v>7.0000000000000007E-2</v>
      </c>
      <c r="Z405" s="540">
        <v>0.19</v>
      </c>
      <c r="AA405" s="518">
        <v>0.15</v>
      </c>
      <c r="AB405" s="518">
        <v>0.13</v>
      </c>
      <c r="AC405" s="518">
        <v>0.12</v>
      </c>
      <c r="AD405" s="518">
        <v>0.11</v>
      </c>
      <c r="AE405" s="532">
        <v>0.1</v>
      </c>
      <c r="AN405" s="2">
        <v>50</v>
      </c>
      <c r="AO405" s="891">
        <f t="shared" ref="AO405:BC414" si="85">((($AN405-$AN$404)*(AO$415-AO$404))/($AN$415-$AN$404))+AO$404</f>
        <v>6654.4636363636364</v>
      </c>
      <c r="AP405" s="891">
        <f t="shared" si="85"/>
        <v>0.41154545454545455</v>
      </c>
      <c r="AQ405" s="835">
        <f t="shared" si="85"/>
        <v>0</v>
      </c>
      <c r="AR405" s="891">
        <f t="shared" si="85"/>
        <v>1315.6636363636364</v>
      </c>
      <c r="AS405" s="891">
        <f t="shared" si="85"/>
        <v>0.10354545454545454</v>
      </c>
      <c r="AT405" s="835">
        <f t="shared" si="85"/>
        <v>0</v>
      </c>
      <c r="AU405" s="891">
        <f t="shared" si="85"/>
        <v>657.86363636363637</v>
      </c>
      <c r="AV405" s="891">
        <f t="shared" si="85"/>
        <v>3.5545454545454547E-2</v>
      </c>
      <c r="AW405" s="835">
        <f t="shared" si="85"/>
        <v>0</v>
      </c>
      <c r="AX405" s="891">
        <f t="shared" si="85"/>
        <v>280.56363636363636</v>
      </c>
      <c r="AY405" s="891">
        <f t="shared" si="85"/>
        <v>1.8545454545454546E-2</v>
      </c>
      <c r="AZ405" s="835">
        <f t="shared" si="85"/>
        <v>0</v>
      </c>
      <c r="BA405" s="891">
        <f t="shared" si="85"/>
        <v>133.76363636363635</v>
      </c>
      <c r="BB405" s="891">
        <f t="shared" si="85"/>
        <v>1.5454545454545456E-3</v>
      </c>
      <c r="BC405" s="835">
        <f t="shared" si="85"/>
        <v>0</v>
      </c>
    </row>
    <row r="406" spans="18:55">
      <c r="R406" s="894">
        <v>1.25</v>
      </c>
      <c r="S406" s="895">
        <v>0.8</v>
      </c>
      <c r="T406" s="518">
        <v>0.2</v>
      </c>
      <c r="U406" s="518">
        <v>0.14000000000000001</v>
      </c>
      <c r="V406" s="531">
        <v>0.11</v>
      </c>
      <c r="W406" s="531">
        <v>0.1</v>
      </c>
      <c r="X406" s="257">
        <v>0.09</v>
      </c>
      <c r="Y406" s="537">
        <v>0.08</v>
      </c>
      <c r="Z406" s="540">
        <v>0.23</v>
      </c>
      <c r="AA406" s="518">
        <v>0.17</v>
      </c>
      <c r="AB406" s="518">
        <v>0.15</v>
      </c>
      <c r="AC406" s="518">
        <v>0.13</v>
      </c>
      <c r="AD406" s="518">
        <v>0.12</v>
      </c>
      <c r="AE406" s="519">
        <v>0.11</v>
      </c>
      <c r="AN406" s="2">
        <v>51</v>
      </c>
      <c r="AO406" s="891">
        <f t="shared" si="85"/>
        <v>6662.1272727272726</v>
      </c>
      <c r="AP406" s="891">
        <f t="shared" si="85"/>
        <v>0.41309090909090906</v>
      </c>
      <c r="AQ406" s="835">
        <f t="shared" si="85"/>
        <v>0</v>
      </c>
      <c r="AR406" s="891">
        <f t="shared" si="85"/>
        <v>1323.3272727272727</v>
      </c>
      <c r="AS406" s="891">
        <f t="shared" si="85"/>
        <v>0.10509090909090908</v>
      </c>
      <c r="AT406" s="835">
        <f t="shared" si="85"/>
        <v>0</v>
      </c>
      <c r="AU406" s="891">
        <f t="shared" si="85"/>
        <v>665.52727272727282</v>
      </c>
      <c r="AV406" s="891">
        <f t="shared" si="85"/>
        <v>3.7090909090909091E-2</v>
      </c>
      <c r="AW406" s="835">
        <f t="shared" si="85"/>
        <v>0</v>
      </c>
      <c r="AX406" s="891">
        <f t="shared" si="85"/>
        <v>288.22727272727269</v>
      </c>
      <c r="AY406" s="891">
        <f t="shared" si="85"/>
        <v>2.0090909090909093E-2</v>
      </c>
      <c r="AZ406" s="835">
        <f t="shared" si="85"/>
        <v>0</v>
      </c>
      <c r="BA406" s="891">
        <f t="shared" si="85"/>
        <v>141.42727272727274</v>
      </c>
      <c r="BB406" s="891">
        <f t="shared" si="85"/>
        <v>3.0909090909090912E-3</v>
      </c>
      <c r="BC406" s="835">
        <f t="shared" si="85"/>
        <v>0</v>
      </c>
    </row>
    <row r="407" spans="18:55">
      <c r="R407" s="894">
        <v>1.5</v>
      </c>
      <c r="S407" s="895">
        <v>0.9</v>
      </c>
      <c r="T407" s="518">
        <v>0.22</v>
      </c>
      <c r="U407" s="518">
        <v>0.15</v>
      </c>
      <c r="V407" s="531">
        <v>0.12</v>
      </c>
      <c r="W407" s="531">
        <v>0.11</v>
      </c>
      <c r="X407" s="257">
        <v>0.1</v>
      </c>
      <c r="Y407" s="537">
        <v>0.09</v>
      </c>
      <c r="Z407" s="540">
        <v>0.25</v>
      </c>
      <c r="AA407" s="518">
        <v>0.19</v>
      </c>
      <c r="AB407" s="518">
        <v>0.16</v>
      </c>
      <c r="AC407" s="518">
        <v>0.14000000000000001</v>
      </c>
      <c r="AD407" s="518">
        <v>0.13</v>
      </c>
      <c r="AE407" s="519">
        <v>0.12</v>
      </c>
      <c r="AN407" s="2">
        <v>52</v>
      </c>
      <c r="AO407" s="891">
        <f t="shared" si="85"/>
        <v>6669.7909090909097</v>
      </c>
      <c r="AP407" s="891">
        <f t="shared" si="85"/>
        <v>0.41463636363636364</v>
      </c>
      <c r="AQ407" s="835">
        <f t="shared" si="85"/>
        <v>0</v>
      </c>
      <c r="AR407" s="891">
        <f t="shared" si="85"/>
        <v>1330.9909090909091</v>
      </c>
      <c r="AS407" s="891">
        <f t="shared" si="85"/>
        <v>0.10663636363636363</v>
      </c>
      <c r="AT407" s="835">
        <f t="shared" si="85"/>
        <v>0</v>
      </c>
      <c r="AU407" s="891">
        <f t="shared" si="85"/>
        <v>673.19090909090914</v>
      </c>
      <c r="AV407" s="891">
        <f t="shared" si="85"/>
        <v>3.8636363636363635E-2</v>
      </c>
      <c r="AW407" s="835">
        <f t="shared" si="85"/>
        <v>0</v>
      </c>
      <c r="AX407" s="891">
        <f t="shared" si="85"/>
        <v>295.89090909090908</v>
      </c>
      <c r="AY407" s="891">
        <f t="shared" si="85"/>
        <v>2.1636363636363638E-2</v>
      </c>
      <c r="AZ407" s="835">
        <f t="shared" si="85"/>
        <v>0</v>
      </c>
      <c r="BA407" s="891">
        <f t="shared" si="85"/>
        <v>149.09090909090909</v>
      </c>
      <c r="BB407" s="891">
        <f t="shared" si="85"/>
        <v>4.6363636363636364E-3</v>
      </c>
      <c r="BC407" s="835">
        <f t="shared" si="85"/>
        <v>0</v>
      </c>
    </row>
    <row r="408" spans="18:55">
      <c r="R408" s="894">
        <v>2</v>
      </c>
      <c r="S408" s="895">
        <v>1.1000000000000001</v>
      </c>
      <c r="T408" s="518">
        <v>0.26</v>
      </c>
      <c r="U408" s="518">
        <v>0.18</v>
      </c>
      <c r="V408" s="531">
        <v>0.14000000000000001</v>
      </c>
      <c r="W408" s="531">
        <v>0.12</v>
      </c>
      <c r="X408" s="257">
        <v>0.11</v>
      </c>
      <c r="Y408" s="537">
        <v>0.1</v>
      </c>
      <c r="Z408" s="540">
        <v>0.28999999999999998</v>
      </c>
      <c r="AA408" s="518">
        <v>0.22</v>
      </c>
      <c r="AB408" s="518">
        <v>0.18</v>
      </c>
      <c r="AC408" s="518">
        <v>0.16</v>
      </c>
      <c r="AD408" s="518">
        <v>0.14000000000000001</v>
      </c>
      <c r="AE408" s="519">
        <v>0.13</v>
      </c>
      <c r="AN408" s="2">
        <v>53</v>
      </c>
      <c r="AO408" s="891">
        <f t="shared" si="85"/>
        <v>6677.454545454546</v>
      </c>
      <c r="AP408" s="891">
        <f t="shared" si="85"/>
        <v>0.41618181818181815</v>
      </c>
      <c r="AQ408" s="835">
        <f t="shared" si="85"/>
        <v>0</v>
      </c>
      <c r="AR408" s="891">
        <f t="shared" si="85"/>
        <v>1338.6545454545455</v>
      </c>
      <c r="AS408" s="891">
        <f t="shared" si="85"/>
        <v>0.10818181818181817</v>
      </c>
      <c r="AT408" s="835">
        <f t="shared" si="85"/>
        <v>0</v>
      </c>
      <c r="AU408" s="891">
        <f t="shared" si="85"/>
        <v>680.85454545454547</v>
      </c>
      <c r="AV408" s="891">
        <f t="shared" si="85"/>
        <v>4.018181818181818E-2</v>
      </c>
      <c r="AW408" s="835">
        <f t="shared" si="85"/>
        <v>0</v>
      </c>
      <c r="AX408" s="891">
        <f t="shared" si="85"/>
        <v>303.55454545454546</v>
      </c>
      <c r="AY408" s="891">
        <f t="shared" si="85"/>
        <v>2.3181818181818185E-2</v>
      </c>
      <c r="AZ408" s="835">
        <f t="shared" si="85"/>
        <v>0</v>
      </c>
      <c r="BA408" s="891">
        <f t="shared" si="85"/>
        <v>156.75454545454545</v>
      </c>
      <c r="BB408" s="891">
        <f t="shared" si="85"/>
        <v>6.1818181818181824E-3</v>
      </c>
      <c r="BC408" s="835">
        <f t="shared" si="85"/>
        <v>0</v>
      </c>
    </row>
    <row r="409" spans="18:55">
      <c r="R409" s="894">
        <v>2.5</v>
      </c>
      <c r="S409" s="895">
        <v>1.31</v>
      </c>
      <c r="T409" s="518">
        <v>0.3</v>
      </c>
      <c r="U409" s="518">
        <v>0.2</v>
      </c>
      <c r="V409" s="531">
        <v>0.16</v>
      </c>
      <c r="W409" s="531">
        <v>0.14000000000000001</v>
      </c>
      <c r="X409" s="257">
        <v>0.12</v>
      </c>
      <c r="Y409" s="537">
        <v>0.11</v>
      </c>
      <c r="Z409" s="540">
        <v>0.34</v>
      </c>
      <c r="AA409" s="518">
        <v>0.25</v>
      </c>
      <c r="AB409" s="518">
        <v>0.2</v>
      </c>
      <c r="AC409" s="518">
        <v>0.18</v>
      </c>
      <c r="AD409" s="518">
        <v>0.16</v>
      </c>
      <c r="AE409" s="519">
        <v>0.15</v>
      </c>
      <c r="AN409" s="2">
        <v>54</v>
      </c>
      <c r="AO409" s="891">
        <f t="shared" si="85"/>
        <v>6685.1181818181822</v>
      </c>
      <c r="AP409" s="891">
        <f t="shared" si="85"/>
        <v>0.41772727272727272</v>
      </c>
      <c r="AQ409" s="835">
        <f t="shared" si="85"/>
        <v>0</v>
      </c>
      <c r="AR409" s="891">
        <f t="shared" si="85"/>
        <v>1346.3181818181818</v>
      </c>
      <c r="AS409" s="891">
        <f t="shared" si="85"/>
        <v>0.10972727272727271</v>
      </c>
      <c r="AT409" s="835">
        <f t="shared" si="85"/>
        <v>0</v>
      </c>
      <c r="AU409" s="891">
        <f t="shared" si="85"/>
        <v>688.5181818181818</v>
      </c>
      <c r="AV409" s="891">
        <f t="shared" si="85"/>
        <v>4.1727272727272724E-2</v>
      </c>
      <c r="AW409" s="835">
        <f t="shared" si="85"/>
        <v>0</v>
      </c>
      <c r="AX409" s="891">
        <f t="shared" si="85"/>
        <v>311.21818181818179</v>
      </c>
      <c r="AY409" s="891">
        <f t="shared" si="85"/>
        <v>2.472727272727273E-2</v>
      </c>
      <c r="AZ409" s="835">
        <f t="shared" si="85"/>
        <v>0</v>
      </c>
      <c r="BA409" s="891">
        <f t="shared" si="85"/>
        <v>164.41818181818181</v>
      </c>
      <c r="BB409" s="891">
        <f t="shared" si="85"/>
        <v>7.7272727272727276E-3</v>
      </c>
      <c r="BC409" s="835">
        <f t="shared" si="85"/>
        <v>0</v>
      </c>
    </row>
    <row r="410" spans="18:55">
      <c r="R410" s="894">
        <v>3</v>
      </c>
      <c r="S410" s="895">
        <v>1.57</v>
      </c>
      <c r="T410" s="518">
        <v>0.35</v>
      </c>
      <c r="U410" s="518">
        <v>0.24</v>
      </c>
      <c r="V410" s="531">
        <v>0.18</v>
      </c>
      <c r="W410" s="531">
        <v>0.16</v>
      </c>
      <c r="X410" s="257">
        <v>0.14000000000000001</v>
      </c>
      <c r="Y410" s="537">
        <v>0.12</v>
      </c>
      <c r="Z410" s="540">
        <v>0.39</v>
      </c>
      <c r="AA410" s="518">
        <v>0.28999999999999998</v>
      </c>
      <c r="AB410" s="518">
        <v>0.23</v>
      </c>
      <c r="AC410" s="257">
        <v>0.2</v>
      </c>
      <c r="AD410" s="257">
        <v>0.18</v>
      </c>
      <c r="AE410" s="519">
        <v>0.16</v>
      </c>
      <c r="AN410" s="2">
        <v>55</v>
      </c>
      <c r="AO410" s="891">
        <f t="shared" si="85"/>
        <v>6692.7818181818184</v>
      </c>
      <c r="AP410" s="891">
        <f t="shared" si="85"/>
        <v>0.41927272727272724</v>
      </c>
      <c r="AQ410" s="835">
        <f t="shared" si="85"/>
        <v>0</v>
      </c>
      <c r="AR410" s="891">
        <f t="shared" si="85"/>
        <v>1353.9818181818182</v>
      </c>
      <c r="AS410" s="891">
        <f t="shared" si="85"/>
        <v>0.11127272727272727</v>
      </c>
      <c r="AT410" s="835">
        <f t="shared" si="85"/>
        <v>0</v>
      </c>
      <c r="AU410" s="891">
        <f t="shared" si="85"/>
        <v>696.18181818181824</v>
      </c>
      <c r="AV410" s="891">
        <f t="shared" si="85"/>
        <v>4.3272727272727268E-2</v>
      </c>
      <c r="AW410" s="835">
        <f t="shared" si="85"/>
        <v>0</v>
      </c>
      <c r="AX410" s="891">
        <f t="shared" si="85"/>
        <v>318.88181818181818</v>
      </c>
      <c r="AY410" s="891">
        <f t="shared" si="85"/>
        <v>2.6272727272727274E-2</v>
      </c>
      <c r="AZ410" s="835">
        <f t="shared" si="85"/>
        <v>0</v>
      </c>
      <c r="BA410" s="891">
        <f t="shared" si="85"/>
        <v>172.08181818181819</v>
      </c>
      <c r="BB410" s="891">
        <f t="shared" si="85"/>
        <v>9.2727272727272728E-3</v>
      </c>
      <c r="BC410" s="835">
        <f t="shared" si="85"/>
        <v>0</v>
      </c>
    </row>
    <row r="411" spans="18:55">
      <c r="R411" s="894">
        <v>3.5</v>
      </c>
      <c r="S411" s="895">
        <v>1.77</v>
      </c>
      <c r="T411" s="518">
        <v>0.4</v>
      </c>
      <c r="U411" s="518">
        <v>0.26</v>
      </c>
      <c r="V411" s="531">
        <v>0.2</v>
      </c>
      <c r="W411" s="531">
        <v>0.17</v>
      </c>
      <c r="X411" s="257">
        <v>0.15</v>
      </c>
      <c r="Y411" s="537">
        <v>0.13</v>
      </c>
      <c r="Z411" s="540">
        <v>0.44</v>
      </c>
      <c r="AA411" s="518">
        <v>0.32</v>
      </c>
      <c r="AB411" s="518">
        <v>0.26</v>
      </c>
      <c r="AC411" s="257">
        <v>0.22</v>
      </c>
      <c r="AD411" s="257">
        <v>0.2</v>
      </c>
      <c r="AE411" s="519">
        <v>0.18</v>
      </c>
      <c r="AN411" s="2">
        <v>56</v>
      </c>
      <c r="AO411" s="891">
        <f t="shared" si="85"/>
        <v>6700.4454545454546</v>
      </c>
      <c r="AP411" s="891">
        <f t="shared" si="85"/>
        <v>0.42081818181818181</v>
      </c>
      <c r="AQ411" s="835">
        <f t="shared" si="85"/>
        <v>0</v>
      </c>
      <c r="AR411" s="891">
        <f t="shared" si="85"/>
        <v>1361.6454545454544</v>
      </c>
      <c r="AS411" s="891">
        <f t="shared" si="85"/>
        <v>0.11281818181818182</v>
      </c>
      <c r="AT411" s="835">
        <f t="shared" si="85"/>
        <v>0</v>
      </c>
      <c r="AU411" s="891">
        <f t="shared" si="85"/>
        <v>703.84545454545457</v>
      </c>
      <c r="AV411" s="891">
        <f t="shared" si="85"/>
        <v>4.481818181818182E-2</v>
      </c>
      <c r="AW411" s="835">
        <f t="shared" si="85"/>
        <v>0</v>
      </c>
      <c r="AX411" s="891">
        <f t="shared" si="85"/>
        <v>326.5454545454545</v>
      </c>
      <c r="AY411" s="891">
        <f t="shared" si="85"/>
        <v>2.7818181818181818E-2</v>
      </c>
      <c r="AZ411" s="835">
        <f t="shared" si="85"/>
        <v>0</v>
      </c>
      <c r="BA411" s="891">
        <f t="shared" si="85"/>
        <v>179.74545454545455</v>
      </c>
      <c r="BB411" s="891">
        <f t="shared" si="85"/>
        <v>1.0818181818181819E-2</v>
      </c>
      <c r="BC411" s="835">
        <f t="shared" si="85"/>
        <v>0</v>
      </c>
    </row>
    <row r="412" spans="18:55">
      <c r="R412" s="894">
        <v>4</v>
      </c>
      <c r="S412" s="895">
        <v>1.98</v>
      </c>
      <c r="T412" s="518">
        <v>0.44</v>
      </c>
      <c r="U412" s="518">
        <v>0.28999999999999998</v>
      </c>
      <c r="V412" s="531">
        <v>0.22</v>
      </c>
      <c r="W412" s="531">
        <v>0.18</v>
      </c>
      <c r="X412" s="257">
        <v>0.16</v>
      </c>
      <c r="Y412" s="537">
        <v>0.14000000000000001</v>
      </c>
      <c r="Z412" s="540">
        <v>0.48</v>
      </c>
      <c r="AA412" s="518">
        <v>0.35</v>
      </c>
      <c r="AB412" s="518">
        <v>0.28000000000000003</v>
      </c>
      <c r="AC412" s="518">
        <v>0.24</v>
      </c>
      <c r="AD412" s="518">
        <v>0.21</v>
      </c>
      <c r="AE412" s="519">
        <v>0.19</v>
      </c>
      <c r="AN412" s="2">
        <v>57</v>
      </c>
      <c r="AO412" s="891">
        <f t="shared" si="85"/>
        <v>6708.1090909090908</v>
      </c>
      <c r="AP412" s="891">
        <f t="shared" si="85"/>
        <v>0.42236363636363633</v>
      </c>
      <c r="AQ412" s="835">
        <f t="shared" si="85"/>
        <v>0</v>
      </c>
      <c r="AR412" s="891">
        <f t="shared" si="85"/>
        <v>1369.3090909090909</v>
      </c>
      <c r="AS412" s="891">
        <f t="shared" si="85"/>
        <v>0.11436363636363636</v>
      </c>
      <c r="AT412" s="835">
        <f t="shared" si="85"/>
        <v>0</v>
      </c>
      <c r="AU412" s="891">
        <f t="shared" si="85"/>
        <v>711.5090909090909</v>
      </c>
      <c r="AV412" s="891">
        <f t="shared" si="85"/>
        <v>4.6363636363636364E-2</v>
      </c>
      <c r="AW412" s="835">
        <f t="shared" si="85"/>
        <v>0</v>
      </c>
      <c r="AX412" s="891">
        <f t="shared" si="85"/>
        <v>334.20909090909089</v>
      </c>
      <c r="AY412" s="891">
        <f t="shared" si="85"/>
        <v>2.9363636363636366E-2</v>
      </c>
      <c r="AZ412" s="835">
        <f t="shared" si="85"/>
        <v>0</v>
      </c>
      <c r="BA412" s="891">
        <f t="shared" si="85"/>
        <v>187.40909090909091</v>
      </c>
      <c r="BB412" s="891">
        <f t="shared" si="85"/>
        <v>1.2363636363636365E-2</v>
      </c>
      <c r="BC412" s="835">
        <f t="shared" si="85"/>
        <v>0</v>
      </c>
    </row>
    <row r="413" spans="18:55">
      <c r="R413" s="894">
        <v>5</v>
      </c>
      <c r="S413" s="895">
        <v>2.41</v>
      </c>
      <c r="T413" s="518">
        <v>0.52</v>
      </c>
      <c r="U413" s="518">
        <v>0.34</v>
      </c>
      <c r="V413" s="531">
        <v>0.26</v>
      </c>
      <c r="W413" s="531">
        <v>0.22</v>
      </c>
      <c r="X413" s="257">
        <v>0.19</v>
      </c>
      <c r="Y413" s="537">
        <v>0.17</v>
      </c>
      <c r="Z413" s="540">
        <v>0.57999999999999996</v>
      </c>
      <c r="AA413" s="518">
        <v>0.41</v>
      </c>
      <c r="AB413" s="518">
        <v>0.33</v>
      </c>
      <c r="AC413" s="518">
        <v>0.28000000000000003</v>
      </c>
      <c r="AD413" s="518">
        <v>0.25</v>
      </c>
      <c r="AE413" s="519">
        <v>0.22</v>
      </c>
      <c r="AN413" s="2">
        <v>58</v>
      </c>
      <c r="AO413" s="891">
        <f t="shared" si="85"/>
        <v>6715.7727272727279</v>
      </c>
      <c r="AP413" s="891">
        <f t="shared" si="85"/>
        <v>0.4239090909090909</v>
      </c>
      <c r="AQ413" s="835">
        <f t="shared" si="85"/>
        <v>0</v>
      </c>
      <c r="AR413" s="891">
        <f t="shared" si="85"/>
        <v>1376.9727272727273</v>
      </c>
      <c r="AS413" s="891">
        <f t="shared" si="85"/>
        <v>0.11590909090909091</v>
      </c>
      <c r="AT413" s="835">
        <f t="shared" si="85"/>
        <v>0</v>
      </c>
      <c r="AU413" s="891">
        <f t="shared" si="85"/>
        <v>719.17272727272734</v>
      </c>
      <c r="AV413" s="891">
        <f t="shared" si="85"/>
        <v>4.7909090909090908E-2</v>
      </c>
      <c r="AW413" s="835">
        <f t="shared" si="85"/>
        <v>0</v>
      </c>
      <c r="AX413" s="891">
        <f t="shared" si="85"/>
        <v>341.87272727272727</v>
      </c>
      <c r="AY413" s="891">
        <f t="shared" si="85"/>
        <v>3.0909090909090914E-2</v>
      </c>
      <c r="AZ413" s="835">
        <f t="shared" si="85"/>
        <v>0</v>
      </c>
      <c r="BA413" s="891">
        <f t="shared" si="85"/>
        <v>195.07272727272726</v>
      </c>
      <c r="BB413" s="891">
        <f t="shared" si="85"/>
        <v>1.3909090909090911E-2</v>
      </c>
      <c r="BC413" s="835">
        <f t="shared" si="85"/>
        <v>0</v>
      </c>
    </row>
    <row r="414" spans="18:55">
      <c r="R414" s="894">
        <v>6</v>
      </c>
      <c r="S414" s="895">
        <v>2.84</v>
      </c>
      <c r="T414" s="518">
        <v>0.61</v>
      </c>
      <c r="U414" s="518">
        <v>0.39</v>
      </c>
      <c r="V414" s="531">
        <v>0.3</v>
      </c>
      <c r="W414" s="531">
        <v>0.25</v>
      </c>
      <c r="X414" s="257">
        <v>0.21</v>
      </c>
      <c r="Y414" s="537">
        <v>0.19</v>
      </c>
      <c r="Z414" s="540">
        <v>0.67</v>
      </c>
      <c r="AA414" s="518">
        <v>0.47</v>
      </c>
      <c r="AB414" s="518">
        <v>0.37</v>
      </c>
      <c r="AC414" s="518">
        <v>0.32</v>
      </c>
      <c r="AD414" s="518">
        <v>0.28000000000000003</v>
      </c>
      <c r="AE414" s="519">
        <v>0.25</v>
      </c>
      <c r="AN414" s="2">
        <v>59</v>
      </c>
      <c r="AO414" s="891">
        <f t="shared" si="85"/>
        <v>6723.4363636363641</v>
      </c>
      <c r="AP414" s="891">
        <f t="shared" si="85"/>
        <v>0.42545454545454542</v>
      </c>
      <c r="AQ414" s="835">
        <f t="shared" si="85"/>
        <v>0</v>
      </c>
      <c r="AR414" s="891">
        <f t="shared" si="85"/>
        <v>1384.6363636363635</v>
      </c>
      <c r="AS414" s="891">
        <f t="shared" si="85"/>
        <v>0.11745454545454545</v>
      </c>
      <c r="AT414" s="835">
        <f t="shared" si="85"/>
        <v>0</v>
      </c>
      <c r="AU414" s="891">
        <f t="shared" si="85"/>
        <v>726.83636363636367</v>
      </c>
      <c r="AV414" s="891">
        <f t="shared" si="85"/>
        <v>4.9454545454545452E-2</v>
      </c>
      <c r="AW414" s="835">
        <f t="shared" si="85"/>
        <v>0</v>
      </c>
      <c r="AX414" s="891">
        <f t="shared" si="85"/>
        <v>349.5363636363636</v>
      </c>
      <c r="AY414" s="891">
        <f t="shared" si="85"/>
        <v>3.2454545454545458E-2</v>
      </c>
      <c r="AZ414" s="835">
        <f t="shared" si="85"/>
        <v>0</v>
      </c>
      <c r="BA414" s="891">
        <f t="shared" si="85"/>
        <v>202.73636363636365</v>
      </c>
      <c r="BB414" s="891">
        <f t="shared" si="85"/>
        <v>1.5454545454545455E-2</v>
      </c>
      <c r="BC414" s="835">
        <f t="shared" si="85"/>
        <v>0</v>
      </c>
    </row>
    <row r="415" spans="18:55" ht="15" thickBot="1">
      <c r="R415" s="894">
        <v>8</v>
      </c>
      <c r="S415" s="896">
        <v>3.64</v>
      </c>
      <c r="T415" s="520">
        <v>0.77</v>
      </c>
      <c r="U415" s="520">
        <v>0.49</v>
      </c>
      <c r="V415" s="533">
        <v>0.37</v>
      </c>
      <c r="W415" s="533">
        <v>0.3</v>
      </c>
      <c r="X415" s="533">
        <v>0.26</v>
      </c>
      <c r="Y415" s="538">
        <v>0.23</v>
      </c>
      <c r="Z415" s="541">
        <v>0.84</v>
      </c>
      <c r="AA415" s="520">
        <v>0.59</v>
      </c>
      <c r="AB415" s="520">
        <v>0.46</v>
      </c>
      <c r="AC415" s="520">
        <v>0.39</v>
      </c>
      <c r="AD415" s="520">
        <v>0.34</v>
      </c>
      <c r="AE415" s="534">
        <v>0.3</v>
      </c>
      <c r="AN415" s="2">
        <v>60</v>
      </c>
      <c r="AO415" s="2">
        <v>6731.1</v>
      </c>
      <c r="AP415" s="873">
        <v>0.42699999999999999</v>
      </c>
      <c r="AQ415" s="874">
        <v>0</v>
      </c>
      <c r="AR415" s="2">
        <v>1392.3</v>
      </c>
      <c r="AS415" s="873">
        <v>0.11899999999999999</v>
      </c>
      <c r="AT415" s="874">
        <v>0</v>
      </c>
      <c r="AU415" s="2">
        <v>734.5</v>
      </c>
      <c r="AV415" s="873">
        <v>5.0999999999999997E-2</v>
      </c>
      <c r="AW415" s="874">
        <v>0</v>
      </c>
      <c r="AX415" s="2">
        <v>357.2</v>
      </c>
      <c r="AY415" s="873">
        <v>3.4000000000000002E-2</v>
      </c>
      <c r="AZ415" s="874">
        <v>0</v>
      </c>
      <c r="BA415" s="2">
        <v>210.4</v>
      </c>
      <c r="BB415" s="873">
        <v>1.7000000000000001E-2</v>
      </c>
      <c r="BC415" s="874">
        <v>0</v>
      </c>
    </row>
    <row r="417" spans="18:55">
      <c r="R417" s="814" t="s">
        <v>1643</v>
      </c>
      <c r="S417" s="814" t="s">
        <v>1773</v>
      </c>
    </row>
    <row r="418" spans="18:55">
      <c r="R418" s="824" t="s">
        <v>1644</v>
      </c>
      <c r="S418" s="93">
        <v>0.98</v>
      </c>
    </row>
    <row r="419" spans="18:55">
      <c r="R419" s="824" t="s">
        <v>1645</v>
      </c>
      <c r="S419" s="514">
        <v>0.98</v>
      </c>
    </row>
    <row r="420" spans="18:55">
      <c r="R420" s="826" t="s">
        <v>1172</v>
      </c>
      <c r="S420" s="524">
        <v>2.2000000000000002</v>
      </c>
      <c r="AN420" s="431" t="s">
        <v>1139</v>
      </c>
    </row>
    <row r="421" spans="18:55">
      <c r="AN421" s="2" t="s">
        <v>1082</v>
      </c>
      <c r="AO421" s="880">
        <v>0</v>
      </c>
      <c r="AP421" s="880"/>
      <c r="AQ421" s="880"/>
      <c r="AR421" s="880">
        <v>11</v>
      </c>
      <c r="AS421" s="880"/>
      <c r="AT421" s="880"/>
      <c r="AU421" s="880">
        <v>19</v>
      </c>
      <c r="AV421" s="880"/>
      <c r="AW421" s="880"/>
      <c r="AX421" s="880">
        <v>30</v>
      </c>
      <c r="AY421" s="880"/>
      <c r="AZ421" s="880"/>
      <c r="BA421" s="880">
        <v>38</v>
      </c>
      <c r="BB421" s="880"/>
      <c r="BC421" s="880"/>
    </row>
    <row r="422" spans="18:55">
      <c r="R422" s="814" t="s">
        <v>1778</v>
      </c>
      <c r="S422" s="814" t="s">
        <v>212</v>
      </c>
      <c r="T422" s="814" t="s">
        <v>1781</v>
      </c>
      <c r="AN422" s="2" t="s">
        <v>1083</v>
      </c>
      <c r="AO422" s="2" t="s">
        <v>1084</v>
      </c>
      <c r="AP422" s="883" t="s">
        <v>1085</v>
      </c>
      <c r="AQ422" s="884"/>
      <c r="AR422" s="2" t="s">
        <v>1084</v>
      </c>
      <c r="AS422" s="883" t="s">
        <v>1085</v>
      </c>
      <c r="AT422" s="884"/>
      <c r="AU422" s="2" t="s">
        <v>1084</v>
      </c>
      <c r="AV422" s="883" t="s">
        <v>1085</v>
      </c>
      <c r="AW422" s="884"/>
      <c r="AX422" s="2" t="s">
        <v>1084</v>
      </c>
      <c r="AY422" s="883" t="s">
        <v>1085</v>
      </c>
      <c r="AZ422" s="884"/>
      <c r="BA422" s="2" t="s">
        <v>1084</v>
      </c>
      <c r="BB422" s="883" t="s">
        <v>1085</v>
      </c>
      <c r="BC422" s="884"/>
    </row>
    <row r="423" spans="18:55">
      <c r="R423" s="824" t="s">
        <v>1779</v>
      </c>
      <c r="S423" s="93">
        <v>8760</v>
      </c>
      <c r="T423" s="93" t="s">
        <v>818</v>
      </c>
      <c r="AN423" s="2">
        <v>11</v>
      </c>
      <c r="AO423" s="2">
        <v>5028.7</v>
      </c>
      <c r="AP423" s="873">
        <v>0</v>
      </c>
      <c r="AQ423" s="874"/>
      <c r="AR423" s="2">
        <v>0</v>
      </c>
      <c r="AS423" s="2">
        <v>0</v>
      </c>
      <c r="AT423" s="2">
        <v>0</v>
      </c>
      <c r="AU423" s="2">
        <v>0</v>
      </c>
      <c r="AV423" s="2">
        <v>0</v>
      </c>
      <c r="AW423" s="2">
        <v>0</v>
      </c>
      <c r="AX423" s="2">
        <v>0</v>
      </c>
      <c r="AY423" s="2">
        <v>0</v>
      </c>
      <c r="AZ423" s="2">
        <v>0</v>
      </c>
      <c r="BA423" s="2">
        <v>0</v>
      </c>
      <c r="BB423" s="2">
        <v>0</v>
      </c>
      <c r="BC423" s="2">
        <v>0</v>
      </c>
    </row>
    <row r="424" spans="18:55">
      <c r="R424" s="824" t="s">
        <v>1777</v>
      </c>
      <c r="S424" s="514">
        <v>125</v>
      </c>
      <c r="T424" s="514" t="s">
        <v>1782</v>
      </c>
      <c r="AN424" s="2">
        <v>12</v>
      </c>
      <c r="AO424" s="891">
        <f t="shared" ref="AO424:BC430" si="86">((($AN424-$AN$423)*(AO$431-AO$423))/($AN$431-$AN$423))+AO$423</f>
        <v>5105.8125</v>
      </c>
      <c r="AP424" s="835">
        <f t="shared" si="86"/>
        <v>0</v>
      </c>
      <c r="AQ424" s="835">
        <f t="shared" si="86"/>
        <v>0</v>
      </c>
      <c r="AR424" s="891">
        <f t="shared" si="86"/>
        <v>77.112499999999997</v>
      </c>
      <c r="AS424" s="835">
        <f t="shared" si="86"/>
        <v>0</v>
      </c>
      <c r="AT424" s="835">
        <f t="shared" si="86"/>
        <v>0</v>
      </c>
      <c r="AU424" s="835">
        <f t="shared" si="86"/>
        <v>0</v>
      </c>
      <c r="AV424" s="835">
        <f t="shared" si="86"/>
        <v>0</v>
      </c>
      <c r="AW424" s="835">
        <f t="shared" si="86"/>
        <v>0</v>
      </c>
      <c r="AX424" s="835">
        <f t="shared" si="86"/>
        <v>0</v>
      </c>
      <c r="AY424" s="835">
        <f t="shared" si="86"/>
        <v>0</v>
      </c>
      <c r="AZ424" s="835">
        <f t="shared" si="86"/>
        <v>0</v>
      </c>
      <c r="BA424" s="835">
        <f t="shared" si="86"/>
        <v>0</v>
      </c>
      <c r="BB424" s="835">
        <f t="shared" si="86"/>
        <v>0</v>
      </c>
      <c r="BC424" s="835">
        <f t="shared" si="86"/>
        <v>0</v>
      </c>
    </row>
    <row r="425" spans="18:55">
      <c r="R425" s="824" t="s">
        <v>1780</v>
      </c>
      <c r="S425" s="746">
        <v>53.2</v>
      </c>
      <c r="T425" s="514" t="s">
        <v>1782</v>
      </c>
      <c r="AN425" s="2">
        <v>13</v>
      </c>
      <c r="AO425" s="891">
        <f t="shared" si="86"/>
        <v>5182.9250000000002</v>
      </c>
      <c r="AP425" s="835">
        <f t="shared" si="86"/>
        <v>0</v>
      </c>
      <c r="AQ425" s="835">
        <f t="shared" si="86"/>
        <v>0</v>
      </c>
      <c r="AR425" s="891">
        <f t="shared" si="86"/>
        <v>154.22499999999999</v>
      </c>
      <c r="AS425" s="835">
        <f t="shared" si="86"/>
        <v>0</v>
      </c>
      <c r="AT425" s="835">
        <f t="shared" si="86"/>
        <v>0</v>
      </c>
      <c r="AU425" s="835">
        <f t="shared" si="86"/>
        <v>0</v>
      </c>
      <c r="AV425" s="835">
        <f t="shared" si="86"/>
        <v>0</v>
      </c>
      <c r="AW425" s="835">
        <f t="shared" si="86"/>
        <v>0</v>
      </c>
      <c r="AX425" s="835">
        <f t="shared" si="86"/>
        <v>0</v>
      </c>
      <c r="AY425" s="835">
        <f t="shared" si="86"/>
        <v>0</v>
      </c>
      <c r="AZ425" s="835">
        <f t="shared" si="86"/>
        <v>0</v>
      </c>
      <c r="BA425" s="835">
        <f t="shared" si="86"/>
        <v>0</v>
      </c>
      <c r="BB425" s="835">
        <f t="shared" si="86"/>
        <v>0</v>
      </c>
      <c r="BC425" s="835">
        <f t="shared" si="86"/>
        <v>0</v>
      </c>
    </row>
    <row r="426" spans="18:55">
      <c r="R426" s="826" t="s">
        <v>1776</v>
      </c>
      <c r="S426" s="543">
        <v>1</v>
      </c>
      <c r="T426" s="524" t="s">
        <v>1783</v>
      </c>
      <c r="AN426" s="2">
        <v>14</v>
      </c>
      <c r="AO426" s="891">
        <f t="shared" si="86"/>
        <v>5260.0375000000004</v>
      </c>
      <c r="AP426" s="835">
        <f t="shared" si="86"/>
        <v>0</v>
      </c>
      <c r="AQ426" s="835">
        <f t="shared" si="86"/>
        <v>0</v>
      </c>
      <c r="AR426" s="891">
        <f t="shared" si="86"/>
        <v>231.33749999999998</v>
      </c>
      <c r="AS426" s="835">
        <f t="shared" si="86"/>
        <v>0</v>
      </c>
      <c r="AT426" s="835">
        <f t="shared" si="86"/>
        <v>0</v>
      </c>
      <c r="AU426" s="835">
        <f t="shared" si="86"/>
        <v>0</v>
      </c>
      <c r="AV426" s="835">
        <f t="shared" si="86"/>
        <v>0</v>
      </c>
      <c r="AW426" s="835">
        <f t="shared" si="86"/>
        <v>0</v>
      </c>
      <c r="AX426" s="835">
        <f t="shared" si="86"/>
        <v>0</v>
      </c>
      <c r="AY426" s="835">
        <f t="shared" si="86"/>
        <v>0</v>
      </c>
      <c r="AZ426" s="835">
        <f t="shared" si="86"/>
        <v>0</v>
      </c>
      <c r="BA426" s="835">
        <f t="shared" si="86"/>
        <v>0</v>
      </c>
      <c r="BB426" s="835">
        <f t="shared" si="86"/>
        <v>0</v>
      </c>
      <c r="BC426" s="835">
        <f t="shared" si="86"/>
        <v>0</v>
      </c>
    </row>
    <row r="427" spans="18:55">
      <c r="AN427" s="2">
        <v>15</v>
      </c>
      <c r="AO427" s="891">
        <f t="shared" si="86"/>
        <v>5337.15</v>
      </c>
      <c r="AP427" s="835">
        <f t="shared" si="86"/>
        <v>0</v>
      </c>
      <c r="AQ427" s="835">
        <f t="shared" si="86"/>
        <v>0</v>
      </c>
      <c r="AR427" s="891">
        <f t="shared" si="86"/>
        <v>308.45</v>
      </c>
      <c r="AS427" s="835">
        <f t="shared" si="86"/>
        <v>0</v>
      </c>
      <c r="AT427" s="835">
        <f t="shared" si="86"/>
        <v>0</v>
      </c>
      <c r="AU427" s="835">
        <f t="shared" si="86"/>
        <v>0</v>
      </c>
      <c r="AV427" s="835">
        <f t="shared" si="86"/>
        <v>0</v>
      </c>
      <c r="AW427" s="835">
        <f t="shared" si="86"/>
        <v>0</v>
      </c>
      <c r="AX427" s="835">
        <f t="shared" si="86"/>
        <v>0</v>
      </c>
      <c r="AY427" s="835">
        <f t="shared" si="86"/>
        <v>0</v>
      </c>
      <c r="AZ427" s="835">
        <f t="shared" si="86"/>
        <v>0</v>
      </c>
      <c r="BA427" s="835">
        <f t="shared" si="86"/>
        <v>0</v>
      </c>
      <c r="BB427" s="835">
        <f t="shared" si="86"/>
        <v>0</v>
      </c>
      <c r="BC427" s="835">
        <f t="shared" si="86"/>
        <v>0</v>
      </c>
    </row>
    <row r="428" spans="18:55">
      <c r="R428" s="95" t="s">
        <v>484</v>
      </c>
      <c r="AN428" s="2">
        <v>16</v>
      </c>
      <c r="AO428" s="891">
        <f t="shared" si="86"/>
        <v>5414.2624999999998</v>
      </c>
      <c r="AP428" s="835">
        <f t="shared" si="86"/>
        <v>0</v>
      </c>
      <c r="AQ428" s="835">
        <f t="shared" si="86"/>
        <v>0</v>
      </c>
      <c r="AR428" s="891">
        <f t="shared" si="86"/>
        <v>385.5625</v>
      </c>
      <c r="AS428" s="835">
        <f t="shared" si="86"/>
        <v>0</v>
      </c>
      <c r="AT428" s="835">
        <f t="shared" si="86"/>
        <v>0</v>
      </c>
      <c r="AU428" s="835">
        <f t="shared" si="86"/>
        <v>0</v>
      </c>
      <c r="AV428" s="835">
        <f t="shared" si="86"/>
        <v>0</v>
      </c>
      <c r="AW428" s="835">
        <f t="shared" si="86"/>
        <v>0</v>
      </c>
      <c r="AX428" s="835">
        <f t="shared" si="86"/>
        <v>0</v>
      </c>
      <c r="AY428" s="835">
        <f t="shared" si="86"/>
        <v>0</v>
      </c>
      <c r="AZ428" s="835">
        <f t="shared" si="86"/>
        <v>0</v>
      </c>
      <c r="BA428" s="835">
        <f t="shared" si="86"/>
        <v>0</v>
      </c>
      <c r="BB428" s="835">
        <f t="shared" si="86"/>
        <v>0</v>
      </c>
      <c r="BC428" s="835">
        <f t="shared" si="86"/>
        <v>0</v>
      </c>
    </row>
    <row r="429" spans="18:55">
      <c r="R429" s="2">
        <v>1.1961999999999999</v>
      </c>
      <c r="AN429" s="2">
        <v>17</v>
      </c>
      <c r="AO429" s="891">
        <f t="shared" si="86"/>
        <v>5491.375</v>
      </c>
      <c r="AP429" s="835">
        <f t="shared" si="86"/>
        <v>0</v>
      </c>
      <c r="AQ429" s="835">
        <f t="shared" si="86"/>
        <v>0</v>
      </c>
      <c r="AR429" s="891">
        <f t="shared" si="86"/>
        <v>462.67499999999995</v>
      </c>
      <c r="AS429" s="835">
        <f t="shared" si="86"/>
        <v>0</v>
      </c>
      <c r="AT429" s="835">
        <f t="shared" si="86"/>
        <v>0</v>
      </c>
      <c r="AU429" s="835">
        <f t="shared" si="86"/>
        <v>0</v>
      </c>
      <c r="AV429" s="835">
        <f t="shared" si="86"/>
        <v>0</v>
      </c>
      <c r="AW429" s="835">
        <f t="shared" si="86"/>
        <v>0</v>
      </c>
      <c r="AX429" s="835">
        <f t="shared" si="86"/>
        <v>0</v>
      </c>
      <c r="AY429" s="835">
        <f t="shared" si="86"/>
        <v>0</v>
      </c>
      <c r="AZ429" s="835">
        <f t="shared" si="86"/>
        <v>0</v>
      </c>
      <c r="BA429" s="835">
        <f t="shared" si="86"/>
        <v>0</v>
      </c>
      <c r="BB429" s="835">
        <f t="shared" si="86"/>
        <v>0</v>
      </c>
      <c r="BC429" s="835">
        <f t="shared" si="86"/>
        <v>0</v>
      </c>
    </row>
    <row r="430" spans="18:55">
      <c r="AN430" s="2">
        <v>18</v>
      </c>
      <c r="AO430" s="891">
        <f t="shared" si="86"/>
        <v>5568.4875000000002</v>
      </c>
      <c r="AP430" s="835">
        <f t="shared" si="86"/>
        <v>0</v>
      </c>
      <c r="AQ430" s="835">
        <f t="shared" si="86"/>
        <v>0</v>
      </c>
      <c r="AR430" s="891">
        <f t="shared" si="86"/>
        <v>539.78750000000002</v>
      </c>
      <c r="AS430" s="835">
        <f t="shared" si="86"/>
        <v>0</v>
      </c>
      <c r="AT430" s="835">
        <f t="shared" si="86"/>
        <v>0</v>
      </c>
      <c r="AU430" s="835">
        <f t="shared" si="86"/>
        <v>0</v>
      </c>
      <c r="AV430" s="835">
        <f t="shared" si="86"/>
        <v>0</v>
      </c>
      <c r="AW430" s="835">
        <f t="shared" si="86"/>
        <v>0</v>
      </c>
      <c r="AX430" s="835">
        <f t="shared" si="86"/>
        <v>0</v>
      </c>
      <c r="AY430" s="835">
        <f t="shared" si="86"/>
        <v>0</v>
      </c>
      <c r="AZ430" s="835">
        <f t="shared" si="86"/>
        <v>0</v>
      </c>
      <c r="BA430" s="835">
        <f t="shared" si="86"/>
        <v>0</v>
      </c>
      <c r="BB430" s="835">
        <f t="shared" si="86"/>
        <v>0</v>
      </c>
      <c r="BC430" s="835">
        <f t="shared" si="86"/>
        <v>0</v>
      </c>
    </row>
    <row r="431" spans="18:55">
      <c r="R431" s="926" t="s">
        <v>2383</v>
      </c>
      <c r="S431" s="926" t="s">
        <v>2384</v>
      </c>
      <c r="T431" s="954"/>
      <c r="U431" s="955"/>
      <c r="V431" s="954"/>
      <c r="W431" s="955"/>
      <c r="X431" s="955"/>
      <c r="Y431" s="955"/>
      <c r="Z431" s="955"/>
      <c r="AA431" s="955"/>
      <c r="AB431" s="955"/>
      <c r="AC431" s="955"/>
      <c r="AD431" s="955"/>
      <c r="AN431" s="2">
        <v>19</v>
      </c>
      <c r="AO431" s="2">
        <v>5645.6</v>
      </c>
      <c r="AP431" s="873">
        <v>0</v>
      </c>
      <c r="AQ431" s="874"/>
      <c r="AR431" s="2">
        <v>616.9</v>
      </c>
      <c r="AS431" s="873">
        <v>0</v>
      </c>
      <c r="AT431" s="873">
        <v>0</v>
      </c>
      <c r="AU431" s="873">
        <v>0</v>
      </c>
      <c r="AV431" s="873">
        <v>0</v>
      </c>
      <c r="AW431" s="873">
        <v>0</v>
      </c>
      <c r="AX431" s="873">
        <v>0</v>
      </c>
      <c r="AY431" s="873">
        <v>0</v>
      </c>
      <c r="AZ431" s="873">
        <v>0</v>
      </c>
      <c r="BA431" s="873">
        <v>0</v>
      </c>
      <c r="BB431" s="873">
        <v>0</v>
      </c>
      <c r="BC431" s="873">
        <v>0</v>
      </c>
    </row>
    <row r="432" spans="18:55">
      <c r="R432" s="929">
        <v>15</v>
      </c>
      <c r="S432" s="929" t="s">
        <v>2385</v>
      </c>
      <c r="T432" s="954"/>
      <c r="U432" s="955"/>
      <c r="V432" s="954"/>
      <c r="W432" s="955"/>
      <c r="X432" s="955"/>
      <c r="Y432" s="955"/>
      <c r="Z432" s="955"/>
      <c r="AA432" s="955"/>
      <c r="AB432" s="955"/>
      <c r="AC432" s="955"/>
      <c r="AD432" s="955"/>
      <c r="AN432" s="2">
        <v>20</v>
      </c>
      <c r="AO432" s="891">
        <f t="shared" ref="AO432:BC441" si="87">((($AN432-$AN$431)*(AO$442-AO$431))/($AN$442-$AN$431))+AO$431</f>
        <v>5677.9454545454546</v>
      </c>
      <c r="AP432" s="835">
        <f t="shared" si="87"/>
        <v>0</v>
      </c>
      <c r="AQ432" s="835">
        <f t="shared" si="87"/>
        <v>0</v>
      </c>
      <c r="AR432" s="891">
        <f t="shared" si="87"/>
        <v>649.24545454545455</v>
      </c>
      <c r="AS432" s="835">
        <f t="shared" si="87"/>
        <v>0</v>
      </c>
      <c r="AT432" s="835">
        <f t="shared" si="87"/>
        <v>0</v>
      </c>
      <c r="AU432" s="891">
        <f t="shared" si="87"/>
        <v>32.345454545454544</v>
      </c>
      <c r="AV432" s="835">
        <f t="shared" si="87"/>
        <v>0</v>
      </c>
      <c r="AW432" s="835">
        <f t="shared" si="87"/>
        <v>0</v>
      </c>
      <c r="AX432" s="835">
        <f t="shared" si="87"/>
        <v>0</v>
      </c>
      <c r="AY432" s="835">
        <f t="shared" si="87"/>
        <v>0</v>
      </c>
      <c r="AZ432" s="835">
        <f t="shared" si="87"/>
        <v>0</v>
      </c>
      <c r="BA432" s="835">
        <f t="shared" si="87"/>
        <v>0</v>
      </c>
      <c r="BB432" s="835">
        <f t="shared" si="87"/>
        <v>0</v>
      </c>
      <c r="BC432" s="835">
        <f t="shared" si="87"/>
        <v>0</v>
      </c>
    </row>
    <row r="433" spans="18:55">
      <c r="R433" s="954"/>
      <c r="S433" s="956"/>
      <c r="T433" s="954"/>
      <c r="U433" s="954"/>
      <c r="V433" s="954"/>
      <c r="W433" s="955"/>
      <c r="X433" s="955"/>
      <c r="Y433" s="955"/>
      <c r="Z433" s="955"/>
      <c r="AA433" s="955"/>
      <c r="AB433" s="955"/>
      <c r="AC433" s="955"/>
      <c r="AD433" s="955"/>
      <c r="AN433" s="2">
        <v>21</v>
      </c>
      <c r="AO433" s="891">
        <f t="shared" si="87"/>
        <v>5710.2909090909097</v>
      </c>
      <c r="AP433" s="835">
        <f t="shared" si="87"/>
        <v>0</v>
      </c>
      <c r="AQ433" s="835">
        <f t="shared" si="87"/>
        <v>0</v>
      </c>
      <c r="AR433" s="891">
        <f t="shared" si="87"/>
        <v>681.59090909090912</v>
      </c>
      <c r="AS433" s="835">
        <f t="shared" si="87"/>
        <v>0</v>
      </c>
      <c r="AT433" s="835">
        <f t="shared" si="87"/>
        <v>0</v>
      </c>
      <c r="AU433" s="891">
        <f t="shared" si="87"/>
        <v>64.690909090909088</v>
      </c>
      <c r="AV433" s="835">
        <f t="shared" si="87"/>
        <v>0</v>
      </c>
      <c r="AW433" s="835">
        <f t="shared" si="87"/>
        <v>0</v>
      </c>
      <c r="AX433" s="835">
        <f t="shared" si="87"/>
        <v>0</v>
      </c>
      <c r="AY433" s="835">
        <f t="shared" si="87"/>
        <v>0</v>
      </c>
      <c r="AZ433" s="835">
        <f t="shared" si="87"/>
        <v>0</v>
      </c>
      <c r="BA433" s="835">
        <f t="shared" si="87"/>
        <v>0</v>
      </c>
      <c r="BB433" s="835">
        <f t="shared" si="87"/>
        <v>0</v>
      </c>
      <c r="BC433" s="835">
        <f t="shared" si="87"/>
        <v>0</v>
      </c>
    </row>
    <row r="434" spans="18:55">
      <c r="R434" s="926" t="s">
        <v>2386</v>
      </c>
      <c r="S434" s="933" t="s">
        <v>2387</v>
      </c>
      <c r="T434" s="954"/>
      <c r="U434" s="954"/>
      <c r="V434" s="954"/>
      <c r="W434" s="955"/>
      <c r="X434" s="955"/>
      <c r="Y434" s="955"/>
      <c r="Z434" s="955"/>
      <c r="AA434" s="955"/>
      <c r="AB434" s="955"/>
      <c r="AC434" s="955"/>
      <c r="AD434" s="955"/>
      <c r="AN434" s="2">
        <v>22</v>
      </c>
      <c r="AO434" s="891">
        <f t="shared" si="87"/>
        <v>5742.636363636364</v>
      </c>
      <c r="AP434" s="835">
        <f t="shared" si="87"/>
        <v>0</v>
      </c>
      <c r="AQ434" s="835">
        <f t="shared" si="87"/>
        <v>0</v>
      </c>
      <c r="AR434" s="891">
        <f t="shared" si="87"/>
        <v>713.93636363636358</v>
      </c>
      <c r="AS434" s="835">
        <f t="shared" si="87"/>
        <v>0</v>
      </c>
      <c r="AT434" s="835">
        <f t="shared" si="87"/>
        <v>0</v>
      </c>
      <c r="AU434" s="891">
        <f t="shared" si="87"/>
        <v>97.036363636363646</v>
      </c>
      <c r="AV434" s="835">
        <f t="shared" si="87"/>
        <v>0</v>
      </c>
      <c r="AW434" s="835">
        <f t="shared" si="87"/>
        <v>0</v>
      </c>
      <c r="AX434" s="835">
        <f t="shared" si="87"/>
        <v>0</v>
      </c>
      <c r="AY434" s="835">
        <f t="shared" si="87"/>
        <v>0</v>
      </c>
      <c r="AZ434" s="835">
        <f t="shared" si="87"/>
        <v>0</v>
      </c>
      <c r="BA434" s="835">
        <f t="shared" si="87"/>
        <v>0</v>
      </c>
      <c r="BB434" s="835">
        <f t="shared" si="87"/>
        <v>0</v>
      </c>
      <c r="BC434" s="835">
        <f t="shared" si="87"/>
        <v>0</v>
      </c>
    </row>
    <row r="435" spans="18:55">
      <c r="R435" s="954"/>
      <c r="S435" s="956"/>
      <c r="T435" s="954"/>
      <c r="U435" s="954"/>
      <c r="V435" s="954"/>
      <c r="W435" s="955"/>
      <c r="X435" s="955"/>
      <c r="Y435" s="955"/>
      <c r="Z435" s="955"/>
      <c r="AA435" s="955"/>
      <c r="AB435" s="955"/>
      <c r="AC435" s="955"/>
      <c r="AD435" s="955"/>
      <c r="AN435" s="2">
        <v>23</v>
      </c>
      <c r="AO435" s="891">
        <f t="shared" si="87"/>
        <v>5774.9818181818182</v>
      </c>
      <c r="AP435" s="835">
        <f t="shared" si="87"/>
        <v>0</v>
      </c>
      <c r="AQ435" s="835">
        <f t="shared" si="87"/>
        <v>0</v>
      </c>
      <c r="AR435" s="891">
        <f t="shared" si="87"/>
        <v>746.28181818181815</v>
      </c>
      <c r="AS435" s="835">
        <f t="shared" si="87"/>
        <v>0</v>
      </c>
      <c r="AT435" s="835">
        <f t="shared" si="87"/>
        <v>0</v>
      </c>
      <c r="AU435" s="891">
        <f t="shared" si="87"/>
        <v>129.38181818181818</v>
      </c>
      <c r="AV435" s="835">
        <f t="shared" si="87"/>
        <v>0</v>
      </c>
      <c r="AW435" s="835">
        <f t="shared" si="87"/>
        <v>0</v>
      </c>
      <c r="AX435" s="835">
        <f t="shared" si="87"/>
        <v>0</v>
      </c>
      <c r="AY435" s="835">
        <f t="shared" si="87"/>
        <v>0</v>
      </c>
      <c r="AZ435" s="835">
        <f t="shared" si="87"/>
        <v>0</v>
      </c>
      <c r="BA435" s="835">
        <f t="shared" si="87"/>
        <v>0</v>
      </c>
      <c r="BB435" s="835">
        <f t="shared" si="87"/>
        <v>0</v>
      </c>
      <c r="BC435" s="835">
        <f t="shared" si="87"/>
        <v>0</v>
      </c>
    </row>
    <row r="436" spans="18:55">
      <c r="R436" s="1265" t="s">
        <v>2430</v>
      </c>
      <c r="S436" s="1266"/>
      <c r="T436" s="1266"/>
      <c r="U436" s="1266"/>
      <c r="V436" s="1266"/>
      <c r="W436" s="1330"/>
      <c r="X436" s="955"/>
      <c r="Y436" s="955"/>
      <c r="Z436" s="955"/>
      <c r="AA436" s="955"/>
      <c r="AB436" s="955"/>
      <c r="AC436" s="955"/>
      <c r="AD436" s="955"/>
      <c r="AN436" s="2">
        <v>24</v>
      </c>
      <c r="AO436" s="891">
        <f t="shared" si="87"/>
        <v>5807.3272727272724</v>
      </c>
      <c r="AP436" s="835">
        <f t="shared" si="87"/>
        <v>0</v>
      </c>
      <c r="AQ436" s="835">
        <f t="shared" si="87"/>
        <v>0</v>
      </c>
      <c r="AR436" s="891">
        <f t="shared" si="87"/>
        <v>778.62727272727273</v>
      </c>
      <c r="AS436" s="835">
        <f t="shared" si="87"/>
        <v>0</v>
      </c>
      <c r="AT436" s="835">
        <f t="shared" si="87"/>
        <v>0</v>
      </c>
      <c r="AU436" s="891">
        <f t="shared" si="87"/>
        <v>161.72727272727272</v>
      </c>
      <c r="AV436" s="835">
        <f t="shared" si="87"/>
        <v>0</v>
      </c>
      <c r="AW436" s="835">
        <f t="shared" si="87"/>
        <v>0</v>
      </c>
      <c r="AX436" s="835">
        <f t="shared" si="87"/>
        <v>0</v>
      </c>
      <c r="AY436" s="835">
        <f t="shared" si="87"/>
        <v>0</v>
      </c>
      <c r="AZ436" s="835">
        <f t="shared" si="87"/>
        <v>0</v>
      </c>
      <c r="BA436" s="835">
        <f t="shared" si="87"/>
        <v>0</v>
      </c>
      <c r="BB436" s="835">
        <f t="shared" si="87"/>
        <v>0</v>
      </c>
      <c r="BC436" s="835">
        <f t="shared" si="87"/>
        <v>0</v>
      </c>
    </row>
    <row r="437" spans="18:55">
      <c r="R437" s="958" t="s">
        <v>433</v>
      </c>
      <c r="S437" s="958" t="s">
        <v>2389</v>
      </c>
      <c r="T437" s="1265" t="s">
        <v>2431</v>
      </c>
      <c r="U437" s="1266"/>
      <c r="V437" s="1266"/>
      <c r="W437" s="1330"/>
      <c r="X437" s="955"/>
      <c r="Y437" s="955"/>
      <c r="Z437" s="955"/>
      <c r="AA437" s="955"/>
      <c r="AB437" s="955"/>
      <c r="AC437" s="955"/>
      <c r="AD437" s="955"/>
      <c r="AN437" s="2">
        <v>25</v>
      </c>
      <c r="AO437" s="891">
        <f t="shared" si="87"/>
        <v>5839.6727272727276</v>
      </c>
      <c r="AP437" s="835">
        <f t="shared" si="87"/>
        <v>0</v>
      </c>
      <c r="AQ437" s="835">
        <f t="shared" si="87"/>
        <v>0</v>
      </c>
      <c r="AR437" s="891">
        <f t="shared" si="87"/>
        <v>810.9727272727273</v>
      </c>
      <c r="AS437" s="835">
        <f t="shared" si="87"/>
        <v>0</v>
      </c>
      <c r="AT437" s="835">
        <f t="shared" si="87"/>
        <v>0</v>
      </c>
      <c r="AU437" s="891">
        <f t="shared" si="87"/>
        <v>194.07272727272729</v>
      </c>
      <c r="AV437" s="835">
        <f t="shared" si="87"/>
        <v>0</v>
      </c>
      <c r="AW437" s="835">
        <f t="shared" si="87"/>
        <v>0</v>
      </c>
      <c r="AX437" s="835">
        <f t="shared" si="87"/>
        <v>0</v>
      </c>
      <c r="AY437" s="835">
        <f t="shared" si="87"/>
        <v>0</v>
      </c>
      <c r="AZ437" s="835">
        <f t="shared" si="87"/>
        <v>0</v>
      </c>
      <c r="BA437" s="835">
        <f t="shared" si="87"/>
        <v>0</v>
      </c>
      <c r="BB437" s="835">
        <f t="shared" si="87"/>
        <v>0</v>
      </c>
      <c r="BC437" s="835">
        <f t="shared" si="87"/>
        <v>0</v>
      </c>
    </row>
    <row r="438" spans="18:55">
      <c r="R438" s="1298" t="s">
        <v>2432</v>
      </c>
      <c r="S438" s="938" t="s">
        <v>2433</v>
      </c>
      <c r="T438" s="1306" t="s">
        <v>2583</v>
      </c>
      <c r="U438" s="1307"/>
      <c r="V438" s="1307"/>
      <c r="W438" s="1308"/>
      <c r="X438" s="994"/>
      <c r="Y438" s="955"/>
      <c r="Z438" s="955"/>
      <c r="AA438" s="955"/>
      <c r="AB438" s="955"/>
      <c r="AC438" s="955"/>
      <c r="AD438" s="955"/>
      <c r="AN438" s="2">
        <v>26</v>
      </c>
      <c r="AO438" s="891">
        <f t="shared" si="87"/>
        <v>5872.0181818181818</v>
      </c>
      <c r="AP438" s="835">
        <f t="shared" si="87"/>
        <v>0</v>
      </c>
      <c r="AQ438" s="835">
        <f t="shared" si="87"/>
        <v>0</v>
      </c>
      <c r="AR438" s="891">
        <f t="shared" si="87"/>
        <v>843.31818181818187</v>
      </c>
      <c r="AS438" s="835">
        <f t="shared" si="87"/>
        <v>0</v>
      </c>
      <c r="AT438" s="835">
        <f t="shared" si="87"/>
        <v>0</v>
      </c>
      <c r="AU438" s="891">
        <f t="shared" si="87"/>
        <v>226.41818181818181</v>
      </c>
      <c r="AV438" s="835">
        <f t="shared" si="87"/>
        <v>0</v>
      </c>
      <c r="AW438" s="835">
        <f t="shared" si="87"/>
        <v>0</v>
      </c>
      <c r="AX438" s="835">
        <f t="shared" si="87"/>
        <v>0</v>
      </c>
      <c r="AY438" s="835">
        <f t="shared" si="87"/>
        <v>0</v>
      </c>
      <c r="AZ438" s="835">
        <f t="shared" si="87"/>
        <v>0</v>
      </c>
      <c r="BA438" s="835">
        <f t="shared" si="87"/>
        <v>0</v>
      </c>
      <c r="BB438" s="835">
        <f t="shared" si="87"/>
        <v>0</v>
      </c>
      <c r="BC438" s="835">
        <f t="shared" si="87"/>
        <v>0</v>
      </c>
    </row>
    <row r="439" spans="18:55">
      <c r="R439" s="1299"/>
      <c r="S439" s="938" t="s">
        <v>2397</v>
      </c>
      <c r="T439" s="1331" t="s">
        <v>2584</v>
      </c>
      <c r="U439" s="1332"/>
      <c r="V439" s="1332"/>
      <c r="W439" s="1333"/>
      <c r="X439" s="994"/>
      <c r="Y439" s="955"/>
      <c r="Z439" s="955"/>
      <c r="AA439" s="955"/>
      <c r="AB439" s="955"/>
      <c r="AC439" s="955"/>
      <c r="AD439" s="955"/>
      <c r="AN439" s="2">
        <v>27</v>
      </c>
      <c r="AO439" s="891">
        <f t="shared" si="87"/>
        <v>5904.363636363636</v>
      </c>
      <c r="AP439" s="835">
        <f t="shared" si="87"/>
        <v>0</v>
      </c>
      <c r="AQ439" s="835">
        <f t="shared" si="87"/>
        <v>0</v>
      </c>
      <c r="AR439" s="891">
        <f t="shared" si="87"/>
        <v>875.66363636363644</v>
      </c>
      <c r="AS439" s="835">
        <f t="shared" si="87"/>
        <v>0</v>
      </c>
      <c r="AT439" s="835">
        <f t="shared" si="87"/>
        <v>0</v>
      </c>
      <c r="AU439" s="891">
        <f t="shared" si="87"/>
        <v>258.76363636363635</v>
      </c>
      <c r="AV439" s="835">
        <f t="shared" si="87"/>
        <v>0</v>
      </c>
      <c r="AW439" s="835">
        <f t="shared" si="87"/>
        <v>0</v>
      </c>
      <c r="AX439" s="835">
        <f t="shared" si="87"/>
        <v>0</v>
      </c>
      <c r="AY439" s="835">
        <f t="shared" si="87"/>
        <v>0</v>
      </c>
      <c r="AZ439" s="835">
        <f t="shared" si="87"/>
        <v>0</v>
      </c>
      <c r="BA439" s="835">
        <f t="shared" si="87"/>
        <v>0</v>
      </c>
      <c r="BB439" s="835">
        <f t="shared" si="87"/>
        <v>0</v>
      </c>
      <c r="BC439" s="835">
        <f t="shared" si="87"/>
        <v>0</v>
      </c>
    </row>
    <row r="440" spans="18:55" ht="16.5">
      <c r="R440" s="1299"/>
      <c r="S440" s="938" t="s">
        <v>2395</v>
      </c>
      <c r="T440" s="1283" t="s">
        <v>2396</v>
      </c>
      <c r="U440" s="1301"/>
      <c r="V440" s="1301"/>
      <c r="W440" s="1284"/>
      <c r="X440" s="994"/>
      <c r="Y440" s="955"/>
      <c r="Z440" s="955"/>
      <c r="AA440" s="955"/>
      <c r="AB440" s="955"/>
      <c r="AC440" s="955"/>
      <c r="AD440" s="955"/>
      <c r="AN440" s="2">
        <v>28</v>
      </c>
      <c r="AO440" s="891">
        <f t="shared" si="87"/>
        <v>5936.7090909090903</v>
      </c>
      <c r="AP440" s="835">
        <f t="shared" si="87"/>
        <v>0</v>
      </c>
      <c r="AQ440" s="835">
        <f t="shared" si="87"/>
        <v>0</v>
      </c>
      <c r="AR440" s="891">
        <f t="shared" si="87"/>
        <v>908.0090909090909</v>
      </c>
      <c r="AS440" s="835">
        <f t="shared" si="87"/>
        <v>0</v>
      </c>
      <c r="AT440" s="835">
        <f t="shared" si="87"/>
        <v>0</v>
      </c>
      <c r="AU440" s="891">
        <f t="shared" si="87"/>
        <v>291.10909090909092</v>
      </c>
      <c r="AV440" s="835">
        <f t="shared" si="87"/>
        <v>0</v>
      </c>
      <c r="AW440" s="835">
        <f t="shared" si="87"/>
        <v>0</v>
      </c>
      <c r="AX440" s="835">
        <f t="shared" si="87"/>
        <v>0</v>
      </c>
      <c r="AY440" s="835">
        <f t="shared" si="87"/>
        <v>0</v>
      </c>
      <c r="AZ440" s="835">
        <f t="shared" si="87"/>
        <v>0</v>
      </c>
      <c r="BA440" s="835">
        <f t="shared" si="87"/>
        <v>0</v>
      </c>
      <c r="BB440" s="835">
        <f t="shared" si="87"/>
        <v>0</v>
      </c>
      <c r="BC440" s="835">
        <f t="shared" si="87"/>
        <v>0</v>
      </c>
    </row>
    <row r="441" spans="18:55">
      <c r="R441" s="1299"/>
      <c r="S441" s="938" t="s">
        <v>2397</v>
      </c>
      <c r="T441" s="1283" t="s">
        <v>2398</v>
      </c>
      <c r="U441" s="1301"/>
      <c r="V441" s="1301"/>
      <c r="W441" s="1284"/>
      <c r="X441" s="994"/>
      <c r="Y441" s="955"/>
      <c r="Z441" s="955"/>
      <c r="AA441" s="955"/>
      <c r="AB441" s="955"/>
      <c r="AC441" s="955"/>
      <c r="AD441" s="955"/>
      <c r="AN441" s="2">
        <v>29</v>
      </c>
      <c r="AO441" s="891">
        <f t="shared" si="87"/>
        <v>5969.0545454545454</v>
      </c>
      <c r="AP441" s="835">
        <f t="shared" si="87"/>
        <v>0</v>
      </c>
      <c r="AQ441" s="835">
        <f t="shared" si="87"/>
        <v>0</v>
      </c>
      <c r="AR441" s="891">
        <f t="shared" si="87"/>
        <v>940.35454545454559</v>
      </c>
      <c r="AS441" s="835">
        <f t="shared" si="87"/>
        <v>0</v>
      </c>
      <c r="AT441" s="835">
        <f t="shared" si="87"/>
        <v>0</v>
      </c>
      <c r="AU441" s="891">
        <f t="shared" si="87"/>
        <v>323.45454545454544</v>
      </c>
      <c r="AV441" s="835">
        <f t="shared" si="87"/>
        <v>0</v>
      </c>
      <c r="AW441" s="835">
        <f t="shared" si="87"/>
        <v>0</v>
      </c>
      <c r="AX441" s="835">
        <f t="shared" si="87"/>
        <v>0</v>
      </c>
      <c r="AY441" s="835">
        <f t="shared" si="87"/>
        <v>0</v>
      </c>
      <c r="AZ441" s="835">
        <f t="shared" si="87"/>
        <v>0</v>
      </c>
      <c r="BA441" s="835">
        <f t="shared" si="87"/>
        <v>0</v>
      </c>
      <c r="BB441" s="835">
        <f t="shared" si="87"/>
        <v>0</v>
      </c>
      <c r="BC441" s="835">
        <f t="shared" si="87"/>
        <v>0</v>
      </c>
    </row>
    <row r="442" spans="18:55" ht="16.5">
      <c r="R442" s="1299"/>
      <c r="S442" s="938" t="s">
        <v>2399</v>
      </c>
      <c r="T442" s="1283" t="s">
        <v>2585</v>
      </c>
      <c r="U442" s="1301"/>
      <c r="V442" s="1301"/>
      <c r="W442" s="1284"/>
      <c r="X442" s="994"/>
      <c r="Y442" s="955"/>
      <c r="Z442" s="955"/>
      <c r="AA442" s="955"/>
      <c r="AB442" s="955"/>
      <c r="AC442" s="955"/>
      <c r="AD442" s="955"/>
      <c r="AN442" s="2">
        <v>30</v>
      </c>
      <c r="AO442" s="2">
        <v>6001.4</v>
      </c>
      <c r="AP442" s="873">
        <v>0</v>
      </c>
      <c r="AQ442" s="874">
        <v>0</v>
      </c>
      <c r="AR442" s="2">
        <v>972.7</v>
      </c>
      <c r="AS442" s="873">
        <v>0</v>
      </c>
      <c r="AT442" s="874">
        <v>0</v>
      </c>
      <c r="AU442" s="2">
        <v>355.8</v>
      </c>
      <c r="AV442" s="873">
        <v>0</v>
      </c>
      <c r="AW442" s="873">
        <v>0</v>
      </c>
      <c r="AX442" s="873">
        <v>0</v>
      </c>
      <c r="AY442" s="873">
        <v>0</v>
      </c>
      <c r="AZ442" s="873">
        <v>0</v>
      </c>
      <c r="BA442" s="873">
        <v>0</v>
      </c>
      <c r="BB442" s="873">
        <v>0</v>
      </c>
      <c r="BC442" s="2">
        <v>0</v>
      </c>
    </row>
    <row r="443" spans="18:55" ht="16.5">
      <c r="R443" s="1299"/>
      <c r="S443" s="938" t="s">
        <v>2401</v>
      </c>
      <c r="T443" s="1283" t="s">
        <v>2402</v>
      </c>
      <c r="U443" s="1301"/>
      <c r="V443" s="1301"/>
      <c r="W443" s="1284"/>
      <c r="X443" s="994"/>
      <c r="Y443" s="955"/>
      <c r="Z443" s="955"/>
      <c r="AA443" s="955"/>
      <c r="AB443" s="955"/>
      <c r="AC443" s="955"/>
      <c r="AD443" s="955"/>
      <c r="AN443" s="2">
        <v>31</v>
      </c>
      <c r="AO443" s="891">
        <f t="shared" ref="AO443:BC449" si="88">((($AN443-$AN$442)*(AO$450-AO$442))/($AN$450-$AN$442))+AO$442</f>
        <v>6018.8249999999998</v>
      </c>
      <c r="AP443" s="835">
        <f t="shared" si="88"/>
        <v>0</v>
      </c>
      <c r="AQ443" s="835">
        <f t="shared" si="88"/>
        <v>0</v>
      </c>
      <c r="AR443" s="891">
        <f t="shared" si="88"/>
        <v>990.125</v>
      </c>
      <c r="AS443" s="835">
        <f t="shared" si="88"/>
        <v>0</v>
      </c>
      <c r="AT443" s="835">
        <f t="shared" si="88"/>
        <v>0</v>
      </c>
      <c r="AU443" s="891">
        <f t="shared" si="88"/>
        <v>373.22500000000002</v>
      </c>
      <c r="AV443" s="835">
        <f t="shared" si="88"/>
        <v>0</v>
      </c>
      <c r="AW443" s="835">
        <f t="shared" si="88"/>
        <v>0</v>
      </c>
      <c r="AX443" s="891">
        <f t="shared" si="88"/>
        <v>17.425000000000001</v>
      </c>
      <c r="AY443" s="835">
        <f t="shared" si="88"/>
        <v>0</v>
      </c>
      <c r="AZ443" s="835">
        <f t="shared" si="88"/>
        <v>0</v>
      </c>
      <c r="BA443" s="835">
        <f t="shared" si="88"/>
        <v>0</v>
      </c>
      <c r="BB443" s="835">
        <f t="shared" si="88"/>
        <v>0</v>
      </c>
      <c r="BC443" s="835">
        <f t="shared" si="88"/>
        <v>0</v>
      </c>
    </row>
    <row r="444" spans="18:55" ht="16.5">
      <c r="R444" s="1300"/>
      <c r="S444" s="938" t="s">
        <v>2403</v>
      </c>
      <c r="T444" s="1287" t="s">
        <v>2404</v>
      </c>
      <c r="U444" s="1305"/>
      <c r="V444" s="1305"/>
      <c r="W444" s="1288"/>
      <c r="X444" s="994"/>
      <c r="Y444" s="955"/>
      <c r="Z444" s="955"/>
      <c r="AA444" s="955"/>
      <c r="AB444" s="955"/>
      <c r="AC444" s="955"/>
      <c r="AD444" s="955"/>
      <c r="AN444" s="2">
        <v>32</v>
      </c>
      <c r="AO444" s="891">
        <f t="shared" si="88"/>
        <v>6036.25</v>
      </c>
      <c r="AP444" s="835">
        <f t="shared" si="88"/>
        <v>0</v>
      </c>
      <c r="AQ444" s="835">
        <f t="shared" si="88"/>
        <v>0</v>
      </c>
      <c r="AR444" s="891">
        <f t="shared" si="88"/>
        <v>1007.55</v>
      </c>
      <c r="AS444" s="835">
        <f t="shared" si="88"/>
        <v>0</v>
      </c>
      <c r="AT444" s="835">
        <f t="shared" si="88"/>
        <v>0</v>
      </c>
      <c r="AU444" s="891">
        <f t="shared" si="88"/>
        <v>390.65</v>
      </c>
      <c r="AV444" s="835">
        <f t="shared" si="88"/>
        <v>0</v>
      </c>
      <c r="AW444" s="835">
        <f t="shared" si="88"/>
        <v>0</v>
      </c>
      <c r="AX444" s="891">
        <f t="shared" si="88"/>
        <v>34.85</v>
      </c>
      <c r="AY444" s="835">
        <f t="shared" si="88"/>
        <v>0</v>
      </c>
      <c r="AZ444" s="835">
        <f t="shared" si="88"/>
        <v>0</v>
      </c>
      <c r="BA444" s="835">
        <f t="shared" si="88"/>
        <v>0</v>
      </c>
      <c r="BB444" s="835">
        <f t="shared" si="88"/>
        <v>0</v>
      </c>
      <c r="BC444" s="835">
        <f t="shared" si="88"/>
        <v>0</v>
      </c>
    </row>
    <row r="445" spans="18:55">
      <c r="R445" s="954"/>
      <c r="S445" s="956"/>
      <c r="T445" s="954"/>
      <c r="U445" s="954"/>
      <c r="V445" s="954"/>
      <c r="W445" s="955"/>
      <c r="X445" s="994"/>
      <c r="Y445" s="955"/>
      <c r="Z445" s="955"/>
      <c r="AA445" s="955"/>
      <c r="AB445" s="955"/>
      <c r="AC445" s="955"/>
      <c r="AD445" s="955"/>
      <c r="AN445" s="2">
        <v>33</v>
      </c>
      <c r="AO445" s="891">
        <f t="shared" si="88"/>
        <v>6053.6750000000002</v>
      </c>
      <c r="AP445" s="835">
        <f t="shared" si="88"/>
        <v>0</v>
      </c>
      <c r="AQ445" s="835">
        <f t="shared" si="88"/>
        <v>0</v>
      </c>
      <c r="AR445" s="891">
        <f t="shared" si="88"/>
        <v>1024.9749999999999</v>
      </c>
      <c r="AS445" s="835">
        <f t="shared" si="88"/>
        <v>0</v>
      </c>
      <c r="AT445" s="835">
        <f t="shared" si="88"/>
        <v>0</v>
      </c>
      <c r="AU445" s="891">
        <f t="shared" si="88"/>
        <v>408.07499999999999</v>
      </c>
      <c r="AV445" s="835">
        <f t="shared" si="88"/>
        <v>0</v>
      </c>
      <c r="AW445" s="835">
        <f t="shared" si="88"/>
        <v>0</v>
      </c>
      <c r="AX445" s="891">
        <f t="shared" si="88"/>
        <v>52.275000000000006</v>
      </c>
      <c r="AY445" s="835">
        <f t="shared" si="88"/>
        <v>0</v>
      </c>
      <c r="AZ445" s="835">
        <f t="shared" si="88"/>
        <v>0</v>
      </c>
      <c r="BA445" s="835">
        <f t="shared" si="88"/>
        <v>0</v>
      </c>
      <c r="BB445" s="835">
        <f t="shared" si="88"/>
        <v>0</v>
      </c>
      <c r="BC445" s="835">
        <f t="shared" si="88"/>
        <v>0</v>
      </c>
    </row>
    <row r="446" spans="18:55">
      <c r="R446" s="954"/>
      <c r="S446" s="956"/>
      <c r="T446" s="954"/>
      <c r="U446" s="954"/>
      <c r="V446" s="954"/>
      <c r="W446" s="955"/>
      <c r="X446" s="994"/>
      <c r="Y446" s="955"/>
      <c r="Z446" s="955"/>
      <c r="AA446" s="955"/>
      <c r="AB446" s="955"/>
      <c r="AC446" s="955"/>
      <c r="AD446" s="955"/>
      <c r="AN446" s="2">
        <v>34</v>
      </c>
      <c r="AO446" s="891">
        <f t="shared" si="88"/>
        <v>6071.1</v>
      </c>
      <c r="AP446" s="835">
        <f t="shared" si="88"/>
        <v>0</v>
      </c>
      <c r="AQ446" s="835">
        <f t="shared" si="88"/>
        <v>0</v>
      </c>
      <c r="AR446" s="891">
        <f t="shared" si="88"/>
        <v>1042.4000000000001</v>
      </c>
      <c r="AS446" s="835">
        <f t="shared" si="88"/>
        <v>0</v>
      </c>
      <c r="AT446" s="835">
        <f t="shared" si="88"/>
        <v>0</v>
      </c>
      <c r="AU446" s="891">
        <f t="shared" si="88"/>
        <v>425.5</v>
      </c>
      <c r="AV446" s="835">
        <f t="shared" si="88"/>
        <v>0</v>
      </c>
      <c r="AW446" s="835">
        <f t="shared" si="88"/>
        <v>0</v>
      </c>
      <c r="AX446" s="891">
        <f t="shared" si="88"/>
        <v>69.7</v>
      </c>
      <c r="AY446" s="835">
        <f t="shared" si="88"/>
        <v>0</v>
      </c>
      <c r="AZ446" s="835">
        <f t="shared" si="88"/>
        <v>0</v>
      </c>
      <c r="BA446" s="835">
        <f t="shared" si="88"/>
        <v>0</v>
      </c>
      <c r="BB446" s="835">
        <f t="shared" si="88"/>
        <v>0</v>
      </c>
      <c r="BC446" s="835">
        <f t="shared" si="88"/>
        <v>0</v>
      </c>
    </row>
    <row r="447" spans="18:55">
      <c r="R447" s="1265" t="s">
        <v>2405</v>
      </c>
      <c r="S447" s="1266"/>
      <c r="T447" s="1266"/>
      <c r="U447" s="1266"/>
      <c r="V447" s="954"/>
      <c r="W447" s="955"/>
      <c r="X447" s="994"/>
      <c r="Y447" s="955"/>
      <c r="Z447" s="955"/>
      <c r="AA447" s="955"/>
      <c r="AB447" s="955"/>
      <c r="AC447" s="955"/>
      <c r="AD447" s="955"/>
      <c r="AN447" s="2">
        <v>35</v>
      </c>
      <c r="AO447" s="891">
        <f t="shared" si="88"/>
        <v>6088.5249999999996</v>
      </c>
      <c r="AP447" s="835">
        <f t="shared" si="88"/>
        <v>0</v>
      </c>
      <c r="AQ447" s="835">
        <f t="shared" si="88"/>
        <v>0</v>
      </c>
      <c r="AR447" s="891">
        <f t="shared" si="88"/>
        <v>1059.825</v>
      </c>
      <c r="AS447" s="835">
        <f t="shared" si="88"/>
        <v>0</v>
      </c>
      <c r="AT447" s="835">
        <f t="shared" si="88"/>
        <v>0</v>
      </c>
      <c r="AU447" s="891">
        <f t="shared" si="88"/>
        <v>442.92500000000001</v>
      </c>
      <c r="AV447" s="835">
        <f t="shared" si="88"/>
        <v>0</v>
      </c>
      <c r="AW447" s="835">
        <f t="shared" si="88"/>
        <v>0</v>
      </c>
      <c r="AX447" s="891">
        <f t="shared" si="88"/>
        <v>87.125</v>
      </c>
      <c r="AY447" s="835">
        <f t="shared" si="88"/>
        <v>0</v>
      </c>
      <c r="AZ447" s="835">
        <f t="shared" si="88"/>
        <v>0</v>
      </c>
      <c r="BA447" s="835">
        <f t="shared" si="88"/>
        <v>0</v>
      </c>
      <c r="BB447" s="835">
        <f t="shared" si="88"/>
        <v>0</v>
      </c>
      <c r="BC447" s="835">
        <f t="shared" si="88"/>
        <v>0</v>
      </c>
    </row>
    <row r="448" spans="18:55">
      <c r="R448" s="960" t="s">
        <v>2406</v>
      </c>
      <c r="S448" s="957" t="s">
        <v>212</v>
      </c>
      <c r="T448" s="960" t="s">
        <v>2407</v>
      </c>
      <c r="U448" s="960" t="s">
        <v>2408</v>
      </c>
      <c r="V448" s="954"/>
      <c r="W448" s="955"/>
      <c r="X448" s="994"/>
      <c r="Y448" s="955"/>
      <c r="Z448" s="955"/>
      <c r="AA448" s="955"/>
      <c r="AB448" s="955"/>
      <c r="AC448" s="955"/>
      <c r="AD448" s="955"/>
      <c r="AN448" s="2">
        <v>36</v>
      </c>
      <c r="AO448" s="891">
        <f t="shared" si="88"/>
        <v>6105.95</v>
      </c>
      <c r="AP448" s="835">
        <f t="shared" si="88"/>
        <v>0</v>
      </c>
      <c r="AQ448" s="835">
        <f t="shared" si="88"/>
        <v>0</v>
      </c>
      <c r="AR448" s="891">
        <f t="shared" si="88"/>
        <v>1077.25</v>
      </c>
      <c r="AS448" s="835">
        <f t="shared" si="88"/>
        <v>0</v>
      </c>
      <c r="AT448" s="835">
        <f t="shared" si="88"/>
        <v>0</v>
      </c>
      <c r="AU448" s="891">
        <f t="shared" si="88"/>
        <v>460.35</v>
      </c>
      <c r="AV448" s="835">
        <f t="shared" si="88"/>
        <v>0</v>
      </c>
      <c r="AW448" s="835">
        <f t="shared" si="88"/>
        <v>0</v>
      </c>
      <c r="AX448" s="891">
        <f t="shared" si="88"/>
        <v>104.55000000000001</v>
      </c>
      <c r="AY448" s="835">
        <f t="shared" si="88"/>
        <v>0</v>
      </c>
      <c r="AZ448" s="835">
        <f t="shared" si="88"/>
        <v>0</v>
      </c>
      <c r="BA448" s="835">
        <f t="shared" si="88"/>
        <v>0</v>
      </c>
      <c r="BB448" s="835">
        <f t="shared" si="88"/>
        <v>0</v>
      </c>
      <c r="BC448" s="835">
        <f t="shared" si="88"/>
        <v>0</v>
      </c>
    </row>
    <row r="449" spans="18:55" ht="29">
      <c r="R449" s="924" t="s">
        <v>2586</v>
      </c>
      <c r="S449" s="925" t="s">
        <v>2587</v>
      </c>
      <c r="T449" s="961" t="s">
        <v>2417</v>
      </c>
      <c r="U449" s="925" t="s">
        <v>2385</v>
      </c>
      <c r="V449" s="954"/>
      <c r="W449" s="955"/>
      <c r="X449" s="994"/>
      <c r="Y449" s="955"/>
      <c r="Z449" s="955"/>
      <c r="AA449" s="955"/>
      <c r="AB449" s="955"/>
      <c r="AC449" s="955"/>
      <c r="AD449" s="955"/>
      <c r="AN449" s="2">
        <v>37</v>
      </c>
      <c r="AO449" s="891">
        <f t="shared" si="88"/>
        <v>6123.375</v>
      </c>
      <c r="AP449" s="835">
        <f t="shared" si="88"/>
        <v>0</v>
      </c>
      <c r="AQ449" s="835">
        <f t="shared" si="88"/>
        <v>0</v>
      </c>
      <c r="AR449" s="891">
        <f t="shared" si="88"/>
        <v>1094.675</v>
      </c>
      <c r="AS449" s="835">
        <f t="shared" si="88"/>
        <v>0</v>
      </c>
      <c r="AT449" s="835">
        <f t="shared" si="88"/>
        <v>0</v>
      </c>
      <c r="AU449" s="891">
        <f t="shared" si="88"/>
        <v>477.77499999999998</v>
      </c>
      <c r="AV449" s="835">
        <f t="shared" si="88"/>
        <v>0</v>
      </c>
      <c r="AW449" s="835">
        <f t="shared" si="88"/>
        <v>0</v>
      </c>
      <c r="AX449" s="891">
        <f t="shared" si="88"/>
        <v>121.97500000000001</v>
      </c>
      <c r="AY449" s="835">
        <f t="shared" si="88"/>
        <v>0</v>
      </c>
      <c r="AZ449" s="835">
        <f t="shared" si="88"/>
        <v>0</v>
      </c>
      <c r="BA449" s="835">
        <f t="shared" si="88"/>
        <v>0</v>
      </c>
      <c r="BB449" s="835">
        <f t="shared" si="88"/>
        <v>0</v>
      </c>
      <c r="BC449" s="835">
        <f t="shared" si="88"/>
        <v>0</v>
      </c>
    </row>
    <row r="450" spans="18:55" ht="72.5">
      <c r="R450" s="924" t="s">
        <v>2588</v>
      </c>
      <c r="S450" s="972" t="s">
        <v>2589</v>
      </c>
      <c r="T450" s="961" t="s">
        <v>2417</v>
      </c>
      <c r="U450" s="925" t="s">
        <v>2385</v>
      </c>
      <c r="V450" s="954"/>
      <c r="W450" s="955"/>
      <c r="X450" s="955"/>
      <c r="Y450" s="955"/>
      <c r="Z450" s="955"/>
      <c r="AA450" s="955"/>
      <c r="AB450" s="955"/>
      <c r="AC450" s="955"/>
      <c r="AD450" s="955"/>
      <c r="AN450" s="2">
        <v>38</v>
      </c>
      <c r="AO450" s="2">
        <v>6140.8</v>
      </c>
      <c r="AP450" s="873">
        <v>0</v>
      </c>
      <c r="AQ450" s="874">
        <v>0</v>
      </c>
      <c r="AR450" s="2">
        <v>1112.0999999999999</v>
      </c>
      <c r="AS450" s="873">
        <v>0</v>
      </c>
      <c r="AT450" s="874">
        <v>0</v>
      </c>
      <c r="AU450" s="2">
        <v>495.2</v>
      </c>
      <c r="AV450" s="873">
        <v>0</v>
      </c>
      <c r="AW450" s="874">
        <v>0</v>
      </c>
      <c r="AX450" s="2">
        <v>139.4</v>
      </c>
      <c r="AY450" s="873">
        <v>0</v>
      </c>
      <c r="AZ450" s="873">
        <v>0</v>
      </c>
      <c r="BA450" s="873">
        <v>0</v>
      </c>
      <c r="BB450" s="873">
        <v>0</v>
      </c>
      <c r="BC450" s="873">
        <v>0</v>
      </c>
    </row>
    <row r="451" spans="18:55" ht="39">
      <c r="R451" s="924" t="s">
        <v>2590</v>
      </c>
      <c r="S451" s="971" t="s">
        <v>2591</v>
      </c>
      <c r="T451" s="961" t="s">
        <v>2592</v>
      </c>
      <c r="U451" s="925" t="s">
        <v>2385</v>
      </c>
      <c r="V451" s="954"/>
      <c r="W451" s="955"/>
      <c r="X451" s="994"/>
      <c r="Y451" s="955"/>
      <c r="Z451" s="955"/>
      <c r="AA451" s="955"/>
      <c r="AB451" s="955"/>
      <c r="AC451" s="955"/>
      <c r="AD451" s="955"/>
      <c r="AN451" s="2">
        <v>39</v>
      </c>
      <c r="AO451" s="891">
        <f t="shared" ref="AO451:BC460" si="89">((($AN451-$AN$450)*(AO$461-AO$450))/($AN$461-$AN$450))+AO$450</f>
        <v>6151.8727272727274</v>
      </c>
      <c r="AP451" s="835">
        <f t="shared" si="89"/>
        <v>0</v>
      </c>
      <c r="AQ451" s="835">
        <f t="shared" si="89"/>
        <v>0</v>
      </c>
      <c r="AR451" s="891">
        <f t="shared" si="89"/>
        <v>1123.181818181818</v>
      </c>
      <c r="AS451" s="835">
        <f t="shared" si="89"/>
        <v>0</v>
      </c>
      <c r="AT451" s="835">
        <f t="shared" si="89"/>
        <v>0</v>
      </c>
      <c r="AU451" s="891">
        <f t="shared" si="89"/>
        <v>506.28181818181815</v>
      </c>
      <c r="AV451" s="835">
        <f t="shared" si="89"/>
        <v>0</v>
      </c>
      <c r="AW451" s="835">
        <f t="shared" si="89"/>
        <v>0</v>
      </c>
      <c r="AX451" s="891">
        <f t="shared" si="89"/>
        <v>150.4818181818182</v>
      </c>
      <c r="AY451" s="835">
        <f t="shared" si="89"/>
        <v>0</v>
      </c>
      <c r="AZ451" s="835">
        <f t="shared" si="89"/>
        <v>0</v>
      </c>
      <c r="BA451" s="891">
        <f t="shared" si="89"/>
        <v>11.072727272727272</v>
      </c>
      <c r="BB451" s="835">
        <f t="shared" si="89"/>
        <v>0</v>
      </c>
      <c r="BC451" s="835">
        <f t="shared" si="89"/>
        <v>0</v>
      </c>
    </row>
    <row r="452" spans="18:55" ht="52">
      <c r="R452" s="924" t="s">
        <v>2593</v>
      </c>
      <c r="S452" s="971" t="s">
        <v>2594</v>
      </c>
      <c r="T452" s="961" t="s">
        <v>2592</v>
      </c>
      <c r="U452" s="925" t="s">
        <v>2385</v>
      </c>
      <c r="V452" s="954"/>
      <c r="W452" s="955"/>
      <c r="X452" s="994"/>
      <c r="Y452" s="955"/>
      <c r="Z452" s="955"/>
      <c r="AA452" s="955"/>
      <c r="AB452" s="955"/>
      <c r="AC452" s="955"/>
      <c r="AD452" s="955"/>
      <c r="AN452" s="2">
        <v>40</v>
      </c>
      <c r="AO452" s="891">
        <f t="shared" si="89"/>
        <v>6162.9454545454546</v>
      </c>
      <c r="AP452" s="835">
        <f t="shared" si="89"/>
        <v>0</v>
      </c>
      <c r="AQ452" s="835">
        <f t="shared" si="89"/>
        <v>0</v>
      </c>
      <c r="AR452" s="891">
        <f t="shared" si="89"/>
        <v>1134.2636363636364</v>
      </c>
      <c r="AS452" s="835">
        <f t="shared" si="89"/>
        <v>0</v>
      </c>
      <c r="AT452" s="835">
        <f t="shared" si="89"/>
        <v>0</v>
      </c>
      <c r="AU452" s="891">
        <f t="shared" si="89"/>
        <v>517.36363636363637</v>
      </c>
      <c r="AV452" s="835">
        <f t="shared" si="89"/>
        <v>0</v>
      </c>
      <c r="AW452" s="835">
        <f t="shared" si="89"/>
        <v>0</v>
      </c>
      <c r="AX452" s="891">
        <f t="shared" si="89"/>
        <v>161.56363636363636</v>
      </c>
      <c r="AY452" s="835">
        <f t="shared" si="89"/>
        <v>0</v>
      </c>
      <c r="AZ452" s="835">
        <f t="shared" si="89"/>
        <v>0</v>
      </c>
      <c r="BA452" s="891">
        <f t="shared" si="89"/>
        <v>22.145454545454545</v>
      </c>
      <c r="BB452" s="835">
        <f t="shared" si="89"/>
        <v>0</v>
      </c>
      <c r="BC452" s="835">
        <f t="shared" si="89"/>
        <v>0</v>
      </c>
    </row>
    <row r="453" spans="18:55" ht="72.5">
      <c r="R453" s="924" t="s">
        <v>2595</v>
      </c>
      <c r="S453" s="925" t="s">
        <v>2596</v>
      </c>
      <c r="T453" s="961" t="s">
        <v>2539</v>
      </c>
      <c r="U453" s="925" t="s">
        <v>2385</v>
      </c>
      <c r="V453" s="954"/>
      <c r="W453" s="955"/>
      <c r="X453" s="994"/>
      <c r="Y453" s="955"/>
      <c r="Z453" s="955"/>
      <c r="AA453" s="955"/>
      <c r="AB453" s="955"/>
      <c r="AC453" s="955"/>
      <c r="AD453" s="955"/>
      <c r="AN453" s="2">
        <v>41</v>
      </c>
      <c r="AO453" s="891">
        <f t="shared" si="89"/>
        <v>6174.0181818181818</v>
      </c>
      <c r="AP453" s="835">
        <f t="shared" si="89"/>
        <v>0</v>
      </c>
      <c r="AQ453" s="835">
        <f t="shared" si="89"/>
        <v>0</v>
      </c>
      <c r="AR453" s="891">
        <f t="shared" si="89"/>
        <v>1145.3454545454545</v>
      </c>
      <c r="AS453" s="835">
        <f t="shared" si="89"/>
        <v>0</v>
      </c>
      <c r="AT453" s="835">
        <f t="shared" si="89"/>
        <v>0</v>
      </c>
      <c r="AU453" s="891">
        <f t="shared" si="89"/>
        <v>528.4454545454546</v>
      </c>
      <c r="AV453" s="835">
        <f t="shared" si="89"/>
        <v>0</v>
      </c>
      <c r="AW453" s="835">
        <f t="shared" si="89"/>
        <v>0</v>
      </c>
      <c r="AX453" s="891">
        <f t="shared" si="89"/>
        <v>172.64545454545456</v>
      </c>
      <c r="AY453" s="835">
        <f t="shared" si="89"/>
        <v>0</v>
      </c>
      <c r="AZ453" s="835">
        <f t="shared" si="89"/>
        <v>0</v>
      </c>
      <c r="BA453" s="891">
        <f t="shared" si="89"/>
        <v>33.218181818181819</v>
      </c>
      <c r="BB453" s="835">
        <f t="shared" si="89"/>
        <v>0</v>
      </c>
      <c r="BC453" s="835">
        <f t="shared" si="89"/>
        <v>0</v>
      </c>
    </row>
    <row r="454" spans="18:55">
      <c r="R454" s="924" t="s">
        <v>2597</v>
      </c>
      <c r="S454" s="961" t="s">
        <v>2423</v>
      </c>
      <c r="T454" s="961" t="s">
        <v>2547</v>
      </c>
      <c r="U454" s="925" t="s">
        <v>2385</v>
      </c>
      <c r="V454" s="954"/>
      <c r="W454" s="955"/>
      <c r="X454" s="994"/>
      <c r="Y454" s="955"/>
      <c r="Z454" s="955"/>
      <c r="AA454" s="955"/>
      <c r="AB454" s="955"/>
      <c r="AC454" s="955"/>
      <c r="AD454" s="955"/>
      <c r="AN454" s="2">
        <v>42</v>
      </c>
      <c r="AO454" s="891">
        <f t="shared" si="89"/>
        <v>6185.090909090909</v>
      </c>
      <c r="AP454" s="835">
        <f t="shared" si="89"/>
        <v>0</v>
      </c>
      <c r="AQ454" s="835">
        <f t="shared" si="89"/>
        <v>0</v>
      </c>
      <c r="AR454" s="891">
        <f t="shared" si="89"/>
        <v>1156.4272727272726</v>
      </c>
      <c r="AS454" s="835">
        <f t="shared" si="89"/>
        <v>0</v>
      </c>
      <c r="AT454" s="835">
        <f t="shared" si="89"/>
        <v>0</v>
      </c>
      <c r="AU454" s="891">
        <f t="shared" si="89"/>
        <v>539.5272727272727</v>
      </c>
      <c r="AV454" s="835">
        <f t="shared" si="89"/>
        <v>0</v>
      </c>
      <c r="AW454" s="835">
        <f t="shared" si="89"/>
        <v>0</v>
      </c>
      <c r="AX454" s="891">
        <f t="shared" si="89"/>
        <v>183.72727272727275</v>
      </c>
      <c r="AY454" s="835">
        <f t="shared" si="89"/>
        <v>0</v>
      </c>
      <c r="AZ454" s="835">
        <f t="shared" si="89"/>
        <v>0</v>
      </c>
      <c r="BA454" s="891">
        <f t="shared" si="89"/>
        <v>44.290909090909089</v>
      </c>
      <c r="BB454" s="835">
        <f t="shared" si="89"/>
        <v>0</v>
      </c>
      <c r="BC454" s="835">
        <f t="shared" si="89"/>
        <v>0</v>
      </c>
    </row>
    <row r="455" spans="18:55" ht="43.5">
      <c r="R455" s="924" t="s">
        <v>2598</v>
      </c>
      <c r="S455" s="925" t="s">
        <v>2599</v>
      </c>
      <c r="T455" s="961" t="s">
        <v>2551</v>
      </c>
      <c r="U455" s="925" t="s">
        <v>2385</v>
      </c>
      <c r="V455" s="954"/>
      <c r="W455" s="955"/>
      <c r="X455" s="994"/>
      <c r="Y455" s="955"/>
      <c r="Z455" s="955"/>
      <c r="AA455" s="955"/>
      <c r="AB455" s="955"/>
      <c r="AC455" s="955"/>
      <c r="AD455" s="955"/>
      <c r="AN455" s="2">
        <v>43</v>
      </c>
      <c r="AO455" s="891">
        <f t="shared" si="89"/>
        <v>6196.1636363636362</v>
      </c>
      <c r="AP455" s="835">
        <f t="shared" si="89"/>
        <v>0</v>
      </c>
      <c r="AQ455" s="835">
        <f t="shared" si="89"/>
        <v>0</v>
      </c>
      <c r="AR455" s="891">
        <f t="shared" si="89"/>
        <v>1167.5090909090909</v>
      </c>
      <c r="AS455" s="835">
        <f t="shared" si="89"/>
        <v>0</v>
      </c>
      <c r="AT455" s="835">
        <f t="shared" si="89"/>
        <v>0</v>
      </c>
      <c r="AU455" s="891">
        <f t="shared" si="89"/>
        <v>550.60909090909092</v>
      </c>
      <c r="AV455" s="835">
        <f t="shared" si="89"/>
        <v>0</v>
      </c>
      <c r="AW455" s="835">
        <f t="shared" si="89"/>
        <v>0</v>
      </c>
      <c r="AX455" s="891">
        <f t="shared" si="89"/>
        <v>194.80909090909091</v>
      </c>
      <c r="AY455" s="835">
        <f t="shared" si="89"/>
        <v>0</v>
      </c>
      <c r="AZ455" s="835">
        <f t="shared" si="89"/>
        <v>0</v>
      </c>
      <c r="BA455" s="891">
        <f t="shared" si="89"/>
        <v>55.363636363636367</v>
      </c>
      <c r="BB455" s="835">
        <f t="shared" si="89"/>
        <v>0</v>
      </c>
      <c r="BC455" s="835">
        <f t="shared" si="89"/>
        <v>0</v>
      </c>
    </row>
    <row r="456" spans="18:55" ht="29">
      <c r="R456" s="938" t="s">
        <v>2600</v>
      </c>
      <c r="S456" s="961">
        <v>53.2</v>
      </c>
      <c r="T456" s="951" t="s">
        <v>77</v>
      </c>
      <c r="U456" s="924" t="s">
        <v>2555</v>
      </c>
      <c r="V456" s="954"/>
      <c r="W456" s="955"/>
      <c r="X456" s="994"/>
      <c r="Y456" s="955"/>
      <c r="Z456" s="955"/>
      <c r="AA456" s="955"/>
      <c r="AB456" s="955"/>
      <c r="AC456" s="955"/>
      <c r="AD456" s="955"/>
      <c r="AN456" s="2">
        <v>44</v>
      </c>
      <c r="AO456" s="891">
        <f t="shared" si="89"/>
        <v>6207.2363636363643</v>
      </c>
      <c r="AP456" s="835">
        <f t="shared" si="89"/>
        <v>0</v>
      </c>
      <c r="AQ456" s="835">
        <f t="shared" si="89"/>
        <v>0</v>
      </c>
      <c r="AR456" s="891">
        <f t="shared" si="89"/>
        <v>1178.590909090909</v>
      </c>
      <c r="AS456" s="835">
        <f t="shared" si="89"/>
        <v>0</v>
      </c>
      <c r="AT456" s="835">
        <f t="shared" si="89"/>
        <v>0</v>
      </c>
      <c r="AU456" s="891">
        <f t="shared" si="89"/>
        <v>561.69090909090914</v>
      </c>
      <c r="AV456" s="835">
        <f t="shared" si="89"/>
        <v>0</v>
      </c>
      <c r="AW456" s="835">
        <f t="shared" si="89"/>
        <v>0</v>
      </c>
      <c r="AX456" s="891">
        <f t="shared" si="89"/>
        <v>205.8909090909091</v>
      </c>
      <c r="AY456" s="835">
        <f t="shared" si="89"/>
        <v>0</v>
      </c>
      <c r="AZ456" s="835">
        <f t="shared" si="89"/>
        <v>0</v>
      </c>
      <c r="BA456" s="891">
        <f t="shared" si="89"/>
        <v>66.436363636363637</v>
      </c>
      <c r="BB456" s="835">
        <f t="shared" si="89"/>
        <v>0</v>
      </c>
      <c r="BC456" s="835">
        <f t="shared" si="89"/>
        <v>0</v>
      </c>
    </row>
    <row r="457" spans="18:55" ht="58">
      <c r="R457" s="938" t="s">
        <v>2601</v>
      </c>
      <c r="S457" s="972" t="s">
        <v>2602</v>
      </c>
      <c r="T457" s="961" t="s">
        <v>2417</v>
      </c>
      <c r="U457" s="925" t="s">
        <v>2385</v>
      </c>
      <c r="V457" s="954"/>
      <c r="W457" s="955"/>
      <c r="X457" s="955"/>
      <c r="Y457" s="955"/>
      <c r="Z457" s="955"/>
      <c r="AA457" s="955"/>
      <c r="AB457" s="955"/>
      <c r="AC457" s="955"/>
      <c r="AD457" s="955"/>
      <c r="AN457" s="2">
        <v>45</v>
      </c>
      <c r="AO457" s="891">
        <f t="shared" si="89"/>
        <v>6218.3090909090915</v>
      </c>
      <c r="AP457" s="835">
        <f t="shared" si="89"/>
        <v>0</v>
      </c>
      <c r="AQ457" s="835">
        <f t="shared" si="89"/>
        <v>0</v>
      </c>
      <c r="AR457" s="891">
        <f t="shared" si="89"/>
        <v>1189.6727272727273</v>
      </c>
      <c r="AS457" s="835">
        <f t="shared" si="89"/>
        <v>0</v>
      </c>
      <c r="AT457" s="835">
        <f t="shared" si="89"/>
        <v>0</v>
      </c>
      <c r="AU457" s="891">
        <f t="shared" si="89"/>
        <v>572.77272727272725</v>
      </c>
      <c r="AV457" s="835">
        <f t="shared" si="89"/>
        <v>0</v>
      </c>
      <c r="AW457" s="835">
        <f t="shared" si="89"/>
        <v>0</v>
      </c>
      <c r="AX457" s="891">
        <f t="shared" si="89"/>
        <v>216.9727272727273</v>
      </c>
      <c r="AY457" s="835">
        <f t="shared" si="89"/>
        <v>0</v>
      </c>
      <c r="AZ457" s="835">
        <f t="shared" si="89"/>
        <v>0</v>
      </c>
      <c r="BA457" s="891">
        <f t="shared" si="89"/>
        <v>77.509090909090915</v>
      </c>
      <c r="BB457" s="835">
        <f t="shared" si="89"/>
        <v>0</v>
      </c>
      <c r="BC457" s="835">
        <f t="shared" si="89"/>
        <v>0</v>
      </c>
    </row>
    <row r="458" spans="18:55" ht="58">
      <c r="R458" s="938" t="s">
        <v>2603</v>
      </c>
      <c r="S458" s="972" t="s">
        <v>2604</v>
      </c>
      <c r="T458" s="961" t="s">
        <v>2417</v>
      </c>
      <c r="U458" s="925" t="s">
        <v>2385</v>
      </c>
      <c r="V458" s="954"/>
      <c r="W458" s="955"/>
      <c r="X458" s="955"/>
      <c r="Y458" s="955"/>
      <c r="Z458" s="955"/>
      <c r="AA458" s="955"/>
      <c r="AB458" s="955"/>
      <c r="AC458" s="955"/>
      <c r="AD458" s="955"/>
      <c r="AN458" s="2">
        <v>46</v>
      </c>
      <c r="AO458" s="891">
        <f t="shared" si="89"/>
        <v>6229.3818181818187</v>
      </c>
      <c r="AP458" s="835">
        <f t="shared" si="89"/>
        <v>0</v>
      </c>
      <c r="AQ458" s="835">
        <f t="shared" si="89"/>
        <v>0</v>
      </c>
      <c r="AR458" s="891">
        <f t="shared" si="89"/>
        <v>1200.7545454545455</v>
      </c>
      <c r="AS458" s="835">
        <f t="shared" si="89"/>
        <v>0</v>
      </c>
      <c r="AT458" s="835">
        <f t="shared" si="89"/>
        <v>0</v>
      </c>
      <c r="AU458" s="891">
        <f t="shared" si="89"/>
        <v>583.85454545454547</v>
      </c>
      <c r="AV458" s="835">
        <f t="shared" si="89"/>
        <v>0</v>
      </c>
      <c r="AW458" s="835">
        <f t="shared" si="89"/>
        <v>0</v>
      </c>
      <c r="AX458" s="891">
        <f t="shared" si="89"/>
        <v>228.05454545454546</v>
      </c>
      <c r="AY458" s="835">
        <f t="shared" si="89"/>
        <v>0</v>
      </c>
      <c r="AZ458" s="835">
        <f t="shared" si="89"/>
        <v>0</v>
      </c>
      <c r="BA458" s="891">
        <f t="shared" si="89"/>
        <v>88.581818181818178</v>
      </c>
      <c r="BB458" s="835">
        <f t="shared" si="89"/>
        <v>0</v>
      </c>
      <c r="BC458" s="835">
        <f t="shared" si="89"/>
        <v>0</v>
      </c>
    </row>
    <row r="459" spans="18:55" ht="29">
      <c r="R459" s="986" t="s">
        <v>2464</v>
      </c>
      <c r="S459" s="925" t="s">
        <v>2605</v>
      </c>
      <c r="T459" s="961" t="s">
        <v>2417</v>
      </c>
      <c r="U459" s="925" t="s">
        <v>2385</v>
      </c>
      <c r="V459" s="954"/>
      <c r="W459" s="955"/>
      <c r="X459" s="994"/>
      <c r="Y459" s="955"/>
      <c r="Z459" s="955"/>
      <c r="AA459" s="955"/>
      <c r="AB459" s="955"/>
      <c r="AC459" s="955"/>
      <c r="AD459" s="955"/>
      <c r="AN459" s="2">
        <v>47</v>
      </c>
      <c r="AO459" s="891">
        <f t="shared" si="89"/>
        <v>6240.454545454546</v>
      </c>
      <c r="AP459" s="835">
        <f t="shared" si="89"/>
        <v>0</v>
      </c>
      <c r="AQ459" s="835">
        <f t="shared" si="89"/>
        <v>0</v>
      </c>
      <c r="AR459" s="891">
        <f t="shared" si="89"/>
        <v>1211.8363636363636</v>
      </c>
      <c r="AS459" s="835">
        <f t="shared" si="89"/>
        <v>0</v>
      </c>
      <c r="AT459" s="835">
        <f t="shared" si="89"/>
        <v>0</v>
      </c>
      <c r="AU459" s="891">
        <f t="shared" si="89"/>
        <v>594.93636363636369</v>
      </c>
      <c r="AV459" s="835">
        <f t="shared" si="89"/>
        <v>0</v>
      </c>
      <c r="AW459" s="835">
        <f t="shared" si="89"/>
        <v>0</v>
      </c>
      <c r="AX459" s="891">
        <f t="shared" si="89"/>
        <v>239.13636363636365</v>
      </c>
      <c r="AY459" s="835">
        <f t="shared" si="89"/>
        <v>0</v>
      </c>
      <c r="AZ459" s="835">
        <f t="shared" si="89"/>
        <v>0</v>
      </c>
      <c r="BA459" s="891">
        <f t="shared" si="89"/>
        <v>99.654545454545456</v>
      </c>
      <c r="BB459" s="835">
        <f t="shared" si="89"/>
        <v>0</v>
      </c>
      <c r="BC459" s="835">
        <f t="shared" si="89"/>
        <v>0</v>
      </c>
    </row>
    <row r="460" spans="18:55">
      <c r="R460" s="954"/>
      <c r="S460" s="956"/>
      <c r="T460" s="995"/>
      <c r="U460" s="996"/>
      <c r="V460" s="954"/>
      <c r="W460" s="955"/>
      <c r="X460" s="955"/>
      <c r="Y460" s="955"/>
      <c r="Z460" s="955"/>
      <c r="AA460" s="955"/>
      <c r="AB460" s="955"/>
      <c r="AC460" s="955"/>
      <c r="AD460" s="955"/>
      <c r="AN460" s="2">
        <v>48</v>
      </c>
      <c r="AO460" s="891">
        <f t="shared" si="89"/>
        <v>6251.5272727272732</v>
      </c>
      <c r="AP460" s="835">
        <f t="shared" si="89"/>
        <v>0</v>
      </c>
      <c r="AQ460" s="835">
        <f t="shared" si="89"/>
        <v>0</v>
      </c>
      <c r="AR460" s="891">
        <f t="shared" si="89"/>
        <v>1222.9181818181819</v>
      </c>
      <c r="AS460" s="835">
        <f t="shared" si="89"/>
        <v>0</v>
      </c>
      <c r="AT460" s="835">
        <f t="shared" si="89"/>
        <v>0</v>
      </c>
      <c r="AU460" s="891">
        <f t="shared" si="89"/>
        <v>606.0181818181818</v>
      </c>
      <c r="AV460" s="835">
        <f t="shared" si="89"/>
        <v>0</v>
      </c>
      <c r="AW460" s="835">
        <f t="shared" si="89"/>
        <v>0</v>
      </c>
      <c r="AX460" s="891">
        <f t="shared" si="89"/>
        <v>250.21818181818182</v>
      </c>
      <c r="AY460" s="835">
        <f t="shared" si="89"/>
        <v>0</v>
      </c>
      <c r="AZ460" s="835">
        <f t="shared" si="89"/>
        <v>0</v>
      </c>
      <c r="BA460" s="891">
        <f t="shared" si="89"/>
        <v>110.72727272727273</v>
      </c>
      <c r="BB460" s="835">
        <f t="shared" si="89"/>
        <v>0</v>
      </c>
      <c r="BC460" s="835">
        <f t="shared" si="89"/>
        <v>0</v>
      </c>
    </row>
    <row r="461" spans="18:55">
      <c r="R461" s="954"/>
      <c r="S461" s="956"/>
      <c r="T461" s="954"/>
      <c r="U461" s="954"/>
      <c r="V461" s="954"/>
      <c r="W461" s="955"/>
      <c r="X461" s="955"/>
      <c r="Y461" s="955"/>
      <c r="Z461" s="955"/>
      <c r="AA461" s="955"/>
      <c r="AB461" s="955"/>
      <c r="AC461" s="955"/>
      <c r="AD461" s="955"/>
      <c r="AN461" s="2">
        <v>49</v>
      </c>
      <c r="AO461" s="2">
        <v>6262.6</v>
      </c>
      <c r="AP461" s="873">
        <v>0</v>
      </c>
      <c r="AQ461" s="874">
        <v>0</v>
      </c>
      <c r="AR461" s="2">
        <v>1234</v>
      </c>
      <c r="AS461" s="873">
        <v>0</v>
      </c>
      <c r="AT461" s="874">
        <v>0</v>
      </c>
      <c r="AU461" s="2">
        <v>617.1</v>
      </c>
      <c r="AV461" s="873">
        <v>0</v>
      </c>
      <c r="AW461" s="874">
        <v>0</v>
      </c>
      <c r="AX461" s="2">
        <v>261.3</v>
      </c>
      <c r="AY461" s="873">
        <v>0</v>
      </c>
      <c r="AZ461" s="874">
        <v>0</v>
      </c>
      <c r="BA461" s="2">
        <v>121.8</v>
      </c>
      <c r="BB461" s="873">
        <v>0</v>
      </c>
      <c r="BC461" s="874">
        <v>0</v>
      </c>
    </row>
    <row r="462" spans="18:55">
      <c r="R462" s="954"/>
      <c r="S462" s="956"/>
      <c r="T462" s="954"/>
      <c r="U462" s="954"/>
      <c r="V462" s="954"/>
      <c r="W462" s="955"/>
      <c r="X462" s="955"/>
      <c r="Y462" s="955"/>
      <c r="Z462" s="955"/>
      <c r="AA462" s="955"/>
      <c r="AB462" s="955"/>
      <c r="AC462" s="955"/>
      <c r="AD462" s="955"/>
      <c r="AN462" s="2">
        <v>50</v>
      </c>
      <c r="AO462" s="891">
        <f t="shared" ref="AO462:BC471" si="90">((($AN462-$AN$461)*(AO$472-AO$461))/($AN$472-$AN$461))+AO$461</f>
        <v>6269.8363636363638</v>
      </c>
      <c r="AP462" s="835">
        <f t="shared" si="90"/>
        <v>0</v>
      </c>
      <c r="AQ462" s="835">
        <f t="shared" si="90"/>
        <v>0</v>
      </c>
      <c r="AR462" s="891">
        <f t="shared" si="90"/>
        <v>1241.2272727272727</v>
      </c>
      <c r="AS462" s="835">
        <f t="shared" si="90"/>
        <v>0</v>
      </c>
      <c r="AT462" s="835">
        <f t="shared" si="90"/>
        <v>0</v>
      </c>
      <c r="AU462" s="891">
        <f t="shared" si="90"/>
        <v>624.32727272727277</v>
      </c>
      <c r="AV462" s="835">
        <f t="shared" si="90"/>
        <v>0</v>
      </c>
      <c r="AW462" s="835">
        <f t="shared" si="90"/>
        <v>0</v>
      </c>
      <c r="AX462" s="891">
        <f t="shared" si="90"/>
        <v>268.52727272727276</v>
      </c>
      <c r="AY462" s="835">
        <f t="shared" si="90"/>
        <v>0</v>
      </c>
      <c r="AZ462" s="835">
        <f t="shared" si="90"/>
        <v>0</v>
      </c>
      <c r="BA462" s="891">
        <f t="shared" si="90"/>
        <v>129.03636363636363</v>
      </c>
      <c r="BB462" s="835">
        <f t="shared" si="90"/>
        <v>0</v>
      </c>
      <c r="BC462" s="835">
        <f t="shared" si="90"/>
        <v>0</v>
      </c>
    </row>
    <row r="463" spans="18:55">
      <c r="R463" s="1322" t="s">
        <v>2606</v>
      </c>
      <c r="S463" s="1325" t="s">
        <v>2607</v>
      </c>
      <c r="T463" s="1326"/>
      <c r="U463" s="1326"/>
      <c r="V463" s="1326"/>
      <c r="W463" s="1326"/>
      <c r="X463" s="1326"/>
      <c r="Y463" s="1327"/>
      <c r="Z463" s="955"/>
      <c r="AA463" s="955"/>
      <c r="AB463" s="955"/>
      <c r="AC463" s="955"/>
      <c r="AD463" s="955"/>
      <c r="AN463" s="2">
        <v>51</v>
      </c>
      <c r="AO463" s="891">
        <f t="shared" si="90"/>
        <v>6277.0727272727272</v>
      </c>
      <c r="AP463" s="835">
        <f t="shared" si="90"/>
        <v>0</v>
      </c>
      <c r="AQ463" s="835">
        <f t="shared" si="90"/>
        <v>0</v>
      </c>
      <c r="AR463" s="891">
        <f t="shared" si="90"/>
        <v>1248.4545454545455</v>
      </c>
      <c r="AS463" s="835">
        <f t="shared" si="90"/>
        <v>0</v>
      </c>
      <c r="AT463" s="835">
        <f t="shared" si="90"/>
        <v>0</v>
      </c>
      <c r="AU463" s="891">
        <f t="shared" si="90"/>
        <v>631.55454545454552</v>
      </c>
      <c r="AV463" s="835">
        <f t="shared" si="90"/>
        <v>0</v>
      </c>
      <c r="AW463" s="835">
        <f t="shared" si="90"/>
        <v>0</v>
      </c>
      <c r="AX463" s="891">
        <f t="shared" si="90"/>
        <v>275.75454545454545</v>
      </c>
      <c r="AY463" s="835">
        <f t="shared" si="90"/>
        <v>0</v>
      </c>
      <c r="AZ463" s="835">
        <f t="shared" si="90"/>
        <v>0</v>
      </c>
      <c r="BA463" s="891">
        <f t="shared" si="90"/>
        <v>136.27272727272728</v>
      </c>
      <c r="BB463" s="835">
        <f t="shared" si="90"/>
        <v>0</v>
      </c>
      <c r="BC463" s="835">
        <f t="shared" si="90"/>
        <v>0</v>
      </c>
    </row>
    <row r="464" spans="18:55">
      <c r="R464" s="1323"/>
      <c r="S464" s="1328" t="s">
        <v>2608</v>
      </c>
      <c r="T464" s="1328"/>
      <c r="U464" s="1328"/>
      <c r="V464" s="1329" t="s">
        <v>2609</v>
      </c>
      <c r="W464" s="1329"/>
      <c r="X464" s="1329" t="s">
        <v>2610</v>
      </c>
      <c r="Y464" s="1329"/>
      <c r="Z464" s="955"/>
      <c r="AA464" s="955"/>
      <c r="AB464" s="955"/>
      <c r="AC464" s="955"/>
      <c r="AD464" s="955"/>
      <c r="AN464" s="2">
        <v>52</v>
      </c>
      <c r="AO464" s="891">
        <f t="shared" si="90"/>
        <v>6284.3090909090915</v>
      </c>
      <c r="AP464" s="835">
        <f t="shared" si="90"/>
        <v>0</v>
      </c>
      <c r="AQ464" s="835">
        <f t="shared" si="90"/>
        <v>0</v>
      </c>
      <c r="AR464" s="891">
        <f t="shared" si="90"/>
        <v>1255.6818181818182</v>
      </c>
      <c r="AS464" s="835">
        <f t="shared" si="90"/>
        <v>0</v>
      </c>
      <c r="AT464" s="835">
        <f t="shared" si="90"/>
        <v>0</v>
      </c>
      <c r="AU464" s="891">
        <f t="shared" si="90"/>
        <v>638.78181818181815</v>
      </c>
      <c r="AV464" s="835">
        <f t="shared" si="90"/>
        <v>0</v>
      </c>
      <c r="AW464" s="835">
        <f t="shared" si="90"/>
        <v>0</v>
      </c>
      <c r="AX464" s="891">
        <f t="shared" si="90"/>
        <v>282.9818181818182</v>
      </c>
      <c r="AY464" s="835">
        <f t="shared" si="90"/>
        <v>0</v>
      </c>
      <c r="AZ464" s="835">
        <f t="shared" si="90"/>
        <v>0</v>
      </c>
      <c r="BA464" s="891">
        <f t="shared" si="90"/>
        <v>143.5090909090909</v>
      </c>
      <c r="BB464" s="835">
        <f t="shared" si="90"/>
        <v>0</v>
      </c>
      <c r="BC464" s="835">
        <f t="shared" si="90"/>
        <v>0</v>
      </c>
    </row>
    <row r="465" spans="18:55">
      <c r="R465" s="1324"/>
      <c r="S465" s="992" t="s">
        <v>818</v>
      </c>
      <c r="T465" s="992" t="s">
        <v>2611</v>
      </c>
      <c r="U465" s="992" t="s">
        <v>2612</v>
      </c>
      <c r="V465" s="997" t="s">
        <v>2611</v>
      </c>
      <c r="W465" s="992" t="s">
        <v>2612</v>
      </c>
      <c r="X465" s="992" t="s">
        <v>818</v>
      </c>
      <c r="Y465" s="997" t="s">
        <v>2611</v>
      </c>
      <c r="Z465" s="955"/>
      <c r="AA465" s="955"/>
      <c r="AB465" s="955"/>
      <c r="AC465" s="955"/>
      <c r="AD465" s="955"/>
      <c r="AN465" s="2">
        <v>53</v>
      </c>
      <c r="AO465" s="891">
        <f t="shared" si="90"/>
        <v>6291.545454545455</v>
      </c>
      <c r="AP465" s="835">
        <f t="shared" si="90"/>
        <v>0</v>
      </c>
      <c r="AQ465" s="835">
        <f t="shared" si="90"/>
        <v>0</v>
      </c>
      <c r="AR465" s="891">
        <f t="shared" si="90"/>
        <v>1262.909090909091</v>
      </c>
      <c r="AS465" s="835">
        <f t="shared" si="90"/>
        <v>0</v>
      </c>
      <c r="AT465" s="835">
        <f t="shared" si="90"/>
        <v>0</v>
      </c>
      <c r="AU465" s="891">
        <f t="shared" si="90"/>
        <v>646.0090909090909</v>
      </c>
      <c r="AV465" s="835">
        <f t="shared" si="90"/>
        <v>0</v>
      </c>
      <c r="AW465" s="835">
        <f t="shared" si="90"/>
        <v>0</v>
      </c>
      <c r="AX465" s="891">
        <f t="shared" si="90"/>
        <v>290.20909090909095</v>
      </c>
      <c r="AY465" s="835">
        <f t="shared" si="90"/>
        <v>0</v>
      </c>
      <c r="AZ465" s="835">
        <f t="shared" si="90"/>
        <v>0</v>
      </c>
      <c r="BA465" s="891">
        <f t="shared" si="90"/>
        <v>150.74545454545455</v>
      </c>
      <c r="BB465" s="835">
        <f t="shared" si="90"/>
        <v>0</v>
      </c>
      <c r="BC465" s="835">
        <f t="shared" si="90"/>
        <v>0</v>
      </c>
    </row>
    <row r="466" spans="18:55">
      <c r="R466" s="973">
        <v>0.5</v>
      </c>
      <c r="S466" s="998">
        <v>0.44</v>
      </c>
      <c r="T466" s="998">
        <v>0.48</v>
      </c>
      <c r="U466" s="998">
        <v>0.53</v>
      </c>
      <c r="V466" s="999">
        <v>0.53</v>
      </c>
      <c r="W466" s="998">
        <v>0.59</v>
      </c>
      <c r="X466" s="999">
        <v>0.39</v>
      </c>
      <c r="Y466" s="998">
        <v>0.41</v>
      </c>
      <c r="Z466" s="994"/>
      <c r="AA466" s="955"/>
      <c r="AB466" s="955"/>
      <c r="AC466" s="955"/>
      <c r="AD466" s="955"/>
      <c r="AN466" s="2">
        <v>54</v>
      </c>
      <c r="AO466" s="891">
        <f t="shared" si="90"/>
        <v>6298.7818181818184</v>
      </c>
      <c r="AP466" s="835">
        <f t="shared" si="90"/>
        <v>0</v>
      </c>
      <c r="AQ466" s="835">
        <f t="shared" si="90"/>
        <v>0</v>
      </c>
      <c r="AR466" s="891">
        <f t="shared" si="90"/>
        <v>1270.1363636363637</v>
      </c>
      <c r="AS466" s="835">
        <f t="shared" si="90"/>
        <v>0</v>
      </c>
      <c r="AT466" s="835">
        <f t="shared" si="90"/>
        <v>0</v>
      </c>
      <c r="AU466" s="891">
        <f t="shared" si="90"/>
        <v>653.23636363636365</v>
      </c>
      <c r="AV466" s="835">
        <f t="shared" si="90"/>
        <v>0</v>
      </c>
      <c r="AW466" s="835">
        <f t="shared" si="90"/>
        <v>0</v>
      </c>
      <c r="AX466" s="891">
        <f t="shared" si="90"/>
        <v>297.43636363636364</v>
      </c>
      <c r="AY466" s="835">
        <f t="shared" si="90"/>
        <v>0</v>
      </c>
      <c r="AZ466" s="835">
        <f t="shared" si="90"/>
        <v>0</v>
      </c>
      <c r="BA466" s="891">
        <f t="shared" si="90"/>
        <v>157.9818181818182</v>
      </c>
      <c r="BB466" s="835">
        <f t="shared" si="90"/>
        <v>0</v>
      </c>
      <c r="BC466" s="835">
        <f t="shared" si="90"/>
        <v>0</v>
      </c>
    </row>
    <row r="467" spans="18:55">
      <c r="R467" s="973">
        <v>0.75</v>
      </c>
      <c r="S467" s="998">
        <v>0.54</v>
      </c>
      <c r="T467" s="998">
        <v>0.57999999999999996</v>
      </c>
      <c r="U467" s="998">
        <v>0.64</v>
      </c>
      <c r="V467" s="999">
        <v>0.65</v>
      </c>
      <c r="W467" s="998">
        <v>0.72</v>
      </c>
      <c r="X467" s="999">
        <v>0.48</v>
      </c>
      <c r="Y467" s="998">
        <v>0.5</v>
      </c>
      <c r="Z467" s="994"/>
      <c r="AA467" s="955"/>
      <c r="AB467" s="955"/>
      <c r="AC467" s="955"/>
      <c r="AD467" s="955"/>
      <c r="AN467" s="2">
        <v>55</v>
      </c>
      <c r="AO467" s="891">
        <f t="shared" si="90"/>
        <v>6306.0181818181818</v>
      </c>
      <c r="AP467" s="835">
        <f t="shared" si="90"/>
        <v>0</v>
      </c>
      <c r="AQ467" s="835">
        <f t="shared" si="90"/>
        <v>0</v>
      </c>
      <c r="AR467" s="891">
        <f t="shared" si="90"/>
        <v>1277.3636363636363</v>
      </c>
      <c r="AS467" s="835">
        <f t="shared" si="90"/>
        <v>0</v>
      </c>
      <c r="AT467" s="835">
        <f t="shared" si="90"/>
        <v>0</v>
      </c>
      <c r="AU467" s="891">
        <f t="shared" si="90"/>
        <v>660.4636363636364</v>
      </c>
      <c r="AV467" s="835">
        <f t="shared" si="90"/>
        <v>0</v>
      </c>
      <c r="AW467" s="835">
        <f t="shared" si="90"/>
        <v>0</v>
      </c>
      <c r="AX467" s="891">
        <f t="shared" si="90"/>
        <v>304.66363636363639</v>
      </c>
      <c r="AY467" s="835">
        <f t="shared" si="90"/>
        <v>0</v>
      </c>
      <c r="AZ467" s="835">
        <f t="shared" si="90"/>
        <v>0</v>
      </c>
      <c r="BA467" s="891">
        <f t="shared" si="90"/>
        <v>165.21818181818182</v>
      </c>
      <c r="BB467" s="835">
        <f t="shared" si="90"/>
        <v>0</v>
      </c>
      <c r="BC467" s="835">
        <f t="shared" si="90"/>
        <v>0</v>
      </c>
    </row>
    <row r="468" spans="18:55">
      <c r="R468" s="998">
        <v>1</v>
      </c>
      <c r="S468" s="998">
        <v>0.65</v>
      </c>
      <c r="T468" s="998">
        <v>0.7</v>
      </c>
      <c r="U468" s="998">
        <v>0.78</v>
      </c>
      <c r="V468" s="999">
        <v>0.79</v>
      </c>
      <c r="W468" s="998">
        <v>0.88</v>
      </c>
      <c r="X468" s="999">
        <v>0.56000000000000005</v>
      </c>
      <c r="Y468" s="998">
        <v>0.57999999999999996</v>
      </c>
      <c r="Z468" s="994"/>
      <c r="AA468" s="955"/>
      <c r="AB468" s="955"/>
      <c r="AC468" s="955"/>
      <c r="AD468" s="955"/>
      <c r="AN468" s="2">
        <v>56</v>
      </c>
      <c r="AO468" s="891">
        <f t="shared" si="90"/>
        <v>6313.2545454545452</v>
      </c>
      <c r="AP468" s="835">
        <f t="shared" si="90"/>
        <v>0</v>
      </c>
      <c r="AQ468" s="835">
        <f t="shared" si="90"/>
        <v>0</v>
      </c>
      <c r="AR468" s="891">
        <f t="shared" si="90"/>
        <v>1284.590909090909</v>
      </c>
      <c r="AS468" s="835">
        <f t="shared" si="90"/>
        <v>0</v>
      </c>
      <c r="AT468" s="835">
        <f t="shared" si="90"/>
        <v>0</v>
      </c>
      <c r="AU468" s="891">
        <f t="shared" si="90"/>
        <v>667.69090909090914</v>
      </c>
      <c r="AV468" s="835">
        <f t="shared" si="90"/>
        <v>0</v>
      </c>
      <c r="AW468" s="835">
        <f t="shared" si="90"/>
        <v>0</v>
      </c>
      <c r="AX468" s="891">
        <f t="shared" si="90"/>
        <v>311.89090909090908</v>
      </c>
      <c r="AY468" s="835">
        <f t="shared" si="90"/>
        <v>0</v>
      </c>
      <c r="AZ468" s="835">
        <f t="shared" si="90"/>
        <v>0</v>
      </c>
      <c r="BA468" s="891">
        <f t="shared" si="90"/>
        <v>172.45454545454544</v>
      </c>
      <c r="BB468" s="835">
        <f t="shared" si="90"/>
        <v>0</v>
      </c>
      <c r="BC468" s="835">
        <f t="shared" si="90"/>
        <v>0</v>
      </c>
    </row>
    <row r="469" spans="18:55">
      <c r="R469" s="973">
        <v>1.25</v>
      </c>
      <c r="S469" s="998">
        <v>0.8</v>
      </c>
      <c r="T469" s="998">
        <v>0.86</v>
      </c>
      <c r="U469" s="998">
        <v>0.96</v>
      </c>
      <c r="V469" s="999">
        <v>0.97</v>
      </c>
      <c r="W469" s="998">
        <v>1.0900000000000001</v>
      </c>
      <c r="X469" s="999">
        <v>0.69</v>
      </c>
      <c r="Y469" s="998">
        <v>0.72</v>
      </c>
      <c r="Z469" s="994"/>
      <c r="AA469" s="955"/>
      <c r="AB469" s="955"/>
      <c r="AC469" s="955"/>
      <c r="AD469" s="955"/>
      <c r="AN469" s="2">
        <v>57</v>
      </c>
      <c r="AO469" s="891">
        <f t="shared" si="90"/>
        <v>6320.4909090909086</v>
      </c>
      <c r="AP469" s="835">
        <f t="shared" si="90"/>
        <v>0</v>
      </c>
      <c r="AQ469" s="835">
        <f t="shared" si="90"/>
        <v>0</v>
      </c>
      <c r="AR469" s="891">
        <f t="shared" si="90"/>
        <v>1291.8181818181818</v>
      </c>
      <c r="AS469" s="835">
        <f t="shared" si="90"/>
        <v>0</v>
      </c>
      <c r="AT469" s="835">
        <f t="shared" si="90"/>
        <v>0</v>
      </c>
      <c r="AU469" s="891">
        <f t="shared" si="90"/>
        <v>674.91818181818189</v>
      </c>
      <c r="AV469" s="835">
        <f t="shared" si="90"/>
        <v>0</v>
      </c>
      <c r="AW469" s="835">
        <f t="shared" si="90"/>
        <v>0</v>
      </c>
      <c r="AX469" s="891">
        <f t="shared" si="90"/>
        <v>319.11818181818182</v>
      </c>
      <c r="AY469" s="835">
        <f t="shared" si="90"/>
        <v>0</v>
      </c>
      <c r="AZ469" s="835">
        <f t="shared" si="90"/>
        <v>0</v>
      </c>
      <c r="BA469" s="891">
        <f t="shared" si="90"/>
        <v>179.69090909090909</v>
      </c>
      <c r="BB469" s="835">
        <f t="shared" si="90"/>
        <v>0</v>
      </c>
      <c r="BC469" s="835">
        <f t="shared" si="90"/>
        <v>0</v>
      </c>
    </row>
    <row r="470" spans="18:55">
      <c r="R470" s="973">
        <v>1.5</v>
      </c>
      <c r="S470" s="998">
        <v>0.9</v>
      </c>
      <c r="T470" s="998">
        <v>0.97</v>
      </c>
      <c r="U470" s="998">
        <v>1.0900000000000001</v>
      </c>
      <c r="V470" s="999">
        <v>1.1000000000000001</v>
      </c>
      <c r="W470" s="998">
        <v>1.23</v>
      </c>
      <c r="X470" s="999">
        <v>0.78</v>
      </c>
      <c r="Y470" s="998">
        <v>0.81</v>
      </c>
      <c r="Z470" s="994"/>
      <c r="AA470" s="955"/>
      <c r="AB470" s="955"/>
      <c r="AC470" s="955"/>
      <c r="AD470" s="955"/>
      <c r="AN470" s="2">
        <v>58</v>
      </c>
      <c r="AO470" s="891">
        <f t="shared" si="90"/>
        <v>6327.727272727273</v>
      </c>
      <c r="AP470" s="835">
        <f t="shared" si="90"/>
        <v>0</v>
      </c>
      <c r="AQ470" s="835">
        <f t="shared" si="90"/>
        <v>0</v>
      </c>
      <c r="AR470" s="891">
        <f t="shared" si="90"/>
        <v>1299.0454545454545</v>
      </c>
      <c r="AS470" s="835">
        <f t="shared" si="90"/>
        <v>0</v>
      </c>
      <c r="AT470" s="835">
        <f t="shared" si="90"/>
        <v>0</v>
      </c>
      <c r="AU470" s="891">
        <f t="shared" si="90"/>
        <v>682.14545454545453</v>
      </c>
      <c r="AV470" s="835">
        <f t="shared" si="90"/>
        <v>0</v>
      </c>
      <c r="AW470" s="835">
        <f t="shared" si="90"/>
        <v>0</v>
      </c>
      <c r="AX470" s="891">
        <f t="shared" si="90"/>
        <v>326.34545454545457</v>
      </c>
      <c r="AY470" s="835">
        <f t="shared" si="90"/>
        <v>0</v>
      </c>
      <c r="AZ470" s="835">
        <f t="shared" si="90"/>
        <v>0</v>
      </c>
      <c r="BA470" s="891">
        <f t="shared" si="90"/>
        <v>186.92727272727274</v>
      </c>
      <c r="BB470" s="835">
        <f t="shared" si="90"/>
        <v>0</v>
      </c>
      <c r="BC470" s="835">
        <f t="shared" si="90"/>
        <v>0</v>
      </c>
    </row>
    <row r="471" spans="18:55">
      <c r="R471" s="973">
        <v>2</v>
      </c>
      <c r="S471" s="998">
        <v>1.1000000000000001</v>
      </c>
      <c r="T471" s="998">
        <v>1.19</v>
      </c>
      <c r="U471" s="998">
        <v>1.33</v>
      </c>
      <c r="V471" s="999">
        <v>1.34</v>
      </c>
      <c r="W471" s="998">
        <v>1.51</v>
      </c>
      <c r="X471" s="999">
        <v>0.95</v>
      </c>
      <c r="Y471" s="998">
        <v>0.98</v>
      </c>
      <c r="Z471" s="994"/>
      <c r="AA471" s="955"/>
      <c r="AB471" s="955"/>
      <c r="AC471" s="955"/>
      <c r="AD471" s="955"/>
      <c r="AN471" s="2">
        <v>59</v>
      </c>
      <c r="AO471" s="891">
        <f t="shared" si="90"/>
        <v>6334.9636363636364</v>
      </c>
      <c r="AP471" s="835">
        <f t="shared" si="90"/>
        <v>0</v>
      </c>
      <c r="AQ471" s="835">
        <f t="shared" si="90"/>
        <v>0</v>
      </c>
      <c r="AR471" s="891">
        <f t="shared" si="90"/>
        <v>1306.2727272727273</v>
      </c>
      <c r="AS471" s="835">
        <f t="shared" si="90"/>
        <v>0</v>
      </c>
      <c r="AT471" s="835">
        <f t="shared" si="90"/>
        <v>0</v>
      </c>
      <c r="AU471" s="891">
        <f t="shared" si="90"/>
        <v>689.37272727272727</v>
      </c>
      <c r="AV471" s="835">
        <f t="shared" si="90"/>
        <v>0</v>
      </c>
      <c r="AW471" s="835">
        <f t="shared" si="90"/>
        <v>0</v>
      </c>
      <c r="AX471" s="891">
        <f t="shared" si="90"/>
        <v>333.57272727272726</v>
      </c>
      <c r="AY471" s="835">
        <f t="shared" si="90"/>
        <v>0</v>
      </c>
      <c r="AZ471" s="835">
        <f t="shared" si="90"/>
        <v>0</v>
      </c>
      <c r="BA471" s="891">
        <f t="shared" si="90"/>
        <v>194.16363636363639</v>
      </c>
      <c r="BB471" s="835">
        <f t="shared" si="90"/>
        <v>0</v>
      </c>
      <c r="BC471" s="835">
        <f t="shared" si="90"/>
        <v>0</v>
      </c>
    </row>
    <row r="472" spans="18:55">
      <c r="R472" s="973">
        <v>2.5</v>
      </c>
      <c r="S472" s="998">
        <v>1.31</v>
      </c>
      <c r="T472" s="998">
        <v>1.42</v>
      </c>
      <c r="U472" s="998">
        <v>1.58</v>
      </c>
      <c r="V472" s="999">
        <v>1.6</v>
      </c>
      <c r="W472" s="998">
        <v>1.8</v>
      </c>
      <c r="X472" s="999">
        <v>1.07</v>
      </c>
      <c r="Y472" s="998">
        <v>1.1100000000000001</v>
      </c>
      <c r="Z472" s="994"/>
      <c r="AA472" s="955"/>
      <c r="AB472" s="955"/>
      <c r="AC472" s="955"/>
      <c r="AD472" s="955"/>
      <c r="AN472" s="2">
        <v>60</v>
      </c>
      <c r="AO472" s="2">
        <v>6342.2</v>
      </c>
      <c r="AP472" s="873">
        <v>0</v>
      </c>
      <c r="AQ472" s="874">
        <v>0</v>
      </c>
      <c r="AR472" s="2">
        <v>1313.5</v>
      </c>
      <c r="AS472" s="873">
        <v>0</v>
      </c>
      <c r="AT472" s="874">
        <v>0</v>
      </c>
      <c r="AU472" s="2">
        <v>696.6</v>
      </c>
      <c r="AV472" s="873">
        <v>0</v>
      </c>
      <c r="AW472" s="874">
        <v>0</v>
      </c>
      <c r="AX472" s="2">
        <v>340.8</v>
      </c>
      <c r="AY472" s="873">
        <v>0</v>
      </c>
      <c r="AZ472" s="874">
        <v>0</v>
      </c>
      <c r="BA472" s="2">
        <v>201.4</v>
      </c>
      <c r="BB472" s="873">
        <v>0</v>
      </c>
      <c r="BC472" s="874">
        <v>0</v>
      </c>
    </row>
    <row r="473" spans="18:55">
      <c r="R473" s="973">
        <v>3</v>
      </c>
      <c r="S473" s="998">
        <v>1.57</v>
      </c>
      <c r="T473" s="998">
        <v>1.7</v>
      </c>
      <c r="U473" s="998">
        <v>1.9</v>
      </c>
      <c r="V473" s="999">
        <v>1.92</v>
      </c>
      <c r="W473" s="998">
        <v>2.16</v>
      </c>
      <c r="X473" s="999">
        <v>1.23</v>
      </c>
      <c r="Y473" s="998">
        <v>1.27</v>
      </c>
      <c r="Z473" s="994"/>
      <c r="AA473" s="955"/>
      <c r="AB473" s="955"/>
      <c r="AC473" s="955"/>
      <c r="AD473" s="955"/>
    </row>
    <row r="474" spans="18:55">
      <c r="R474" s="973">
        <v>3.5</v>
      </c>
      <c r="S474" s="998">
        <v>1.77</v>
      </c>
      <c r="T474" s="998">
        <v>1.92</v>
      </c>
      <c r="U474" s="998">
        <v>2.15</v>
      </c>
      <c r="V474" s="999">
        <v>2.1800000000000002</v>
      </c>
      <c r="W474" s="998">
        <v>2.4500000000000002</v>
      </c>
      <c r="X474" s="999">
        <v>1.38</v>
      </c>
      <c r="Y474" s="998">
        <v>1.42</v>
      </c>
      <c r="Z474" s="994"/>
      <c r="AA474" s="955"/>
      <c r="AB474" s="955"/>
      <c r="AC474" s="955"/>
      <c r="AD474" s="955"/>
    </row>
    <row r="475" spans="18:55">
      <c r="R475" s="973">
        <v>4</v>
      </c>
      <c r="S475" s="998">
        <v>1.98</v>
      </c>
      <c r="T475" s="998">
        <v>2.14</v>
      </c>
      <c r="U475" s="998">
        <v>2.4</v>
      </c>
      <c r="V475" s="999">
        <v>2.4300000000000002</v>
      </c>
      <c r="W475" s="998">
        <v>2.73</v>
      </c>
      <c r="X475" s="999">
        <v>1.52</v>
      </c>
      <c r="Y475" s="998">
        <v>1.57</v>
      </c>
      <c r="Z475" s="994"/>
      <c r="AA475" s="955"/>
      <c r="AB475" s="955"/>
      <c r="AC475" s="955"/>
      <c r="AD475" s="955"/>
    </row>
    <row r="476" spans="18:55">
      <c r="R476" s="973">
        <v>5</v>
      </c>
      <c r="S476" s="998">
        <v>2.41</v>
      </c>
      <c r="T476" s="998">
        <v>2.61</v>
      </c>
      <c r="U476" s="998">
        <v>2.92</v>
      </c>
      <c r="V476" s="999">
        <v>2.97</v>
      </c>
      <c r="W476" s="998">
        <v>3.34</v>
      </c>
      <c r="X476" s="999">
        <v>1.82</v>
      </c>
      <c r="Y476" s="998">
        <v>1.87</v>
      </c>
      <c r="Z476" s="994"/>
      <c r="AA476" s="955"/>
      <c r="AB476" s="955"/>
      <c r="AC476" s="955"/>
      <c r="AD476" s="955"/>
      <c r="AN476" s="431" t="s">
        <v>1140</v>
      </c>
    </row>
    <row r="477" spans="18:55">
      <c r="R477" s="973">
        <v>6</v>
      </c>
      <c r="S477" s="998">
        <v>2.84</v>
      </c>
      <c r="T477" s="998">
        <v>3.07</v>
      </c>
      <c r="U477" s="998">
        <v>3.45</v>
      </c>
      <c r="V477" s="999">
        <v>3.5</v>
      </c>
      <c r="W477" s="998">
        <v>3.94</v>
      </c>
      <c r="X477" s="999">
        <v>2.09</v>
      </c>
      <c r="Y477" s="998">
        <v>2.15</v>
      </c>
      <c r="Z477" s="994"/>
      <c r="AA477" s="955"/>
      <c r="AB477" s="955"/>
      <c r="AC477" s="955"/>
      <c r="AD477" s="955"/>
      <c r="AN477" s="2" t="s">
        <v>1082</v>
      </c>
      <c r="AO477" s="880">
        <v>0</v>
      </c>
      <c r="AP477" s="880"/>
      <c r="AQ477" s="880"/>
      <c r="AR477" s="880">
        <v>11</v>
      </c>
      <c r="AS477" s="880"/>
      <c r="AT477" s="880"/>
      <c r="AU477" s="880">
        <v>19</v>
      </c>
      <c r="AV477" s="880"/>
      <c r="AW477" s="880"/>
      <c r="AX477" s="880">
        <v>30</v>
      </c>
      <c r="AY477" s="880"/>
      <c r="AZ477" s="880"/>
      <c r="BA477" s="880">
        <v>38</v>
      </c>
      <c r="BB477" s="880"/>
      <c r="BC477" s="880"/>
    </row>
    <row r="478" spans="18:55">
      <c r="R478" s="973">
        <v>8</v>
      </c>
      <c r="S478" s="993">
        <v>3.64</v>
      </c>
      <c r="T478" s="993">
        <v>3.94</v>
      </c>
      <c r="U478" s="993">
        <v>4.42</v>
      </c>
      <c r="V478" s="999">
        <v>4.5</v>
      </c>
      <c r="W478" s="993">
        <v>5.0599999999999996</v>
      </c>
      <c r="X478" s="999">
        <v>2.56</v>
      </c>
      <c r="Y478" s="993">
        <v>2.62</v>
      </c>
      <c r="Z478" s="994"/>
      <c r="AA478" s="955"/>
      <c r="AB478" s="955"/>
      <c r="AC478" s="955"/>
      <c r="AD478" s="955"/>
      <c r="AN478" s="2" t="s">
        <v>1083</v>
      </c>
      <c r="AO478" s="2" t="s">
        <v>1084</v>
      </c>
      <c r="AP478" s="2" t="s">
        <v>1085</v>
      </c>
      <c r="AQ478" s="2" t="s">
        <v>1086</v>
      </c>
      <c r="AR478" s="2" t="s">
        <v>1084</v>
      </c>
      <c r="AS478" s="2" t="s">
        <v>1085</v>
      </c>
      <c r="AT478" s="2" t="s">
        <v>1086</v>
      </c>
      <c r="AU478" s="2" t="s">
        <v>1084</v>
      </c>
      <c r="AV478" s="2" t="s">
        <v>1085</v>
      </c>
      <c r="AW478" s="2" t="s">
        <v>1086</v>
      </c>
      <c r="AX478" s="2" t="s">
        <v>1084</v>
      </c>
      <c r="AY478" s="2" t="s">
        <v>1085</v>
      </c>
      <c r="AZ478" s="2" t="s">
        <v>1086</v>
      </c>
      <c r="BA478" s="2" t="s">
        <v>1084</v>
      </c>
      <c r="BB478" s="2" t="s">
        <v>1085</v>
      </c>
      <c r="BC478" s="2" t="s">
        <v>1086</v>
      </c>
    </row>
    <row r="479" spans="18:55">
      <c r="R479" s="954"/>
      <c r="S479" s="956"/>
      <c r="T479" s="954"/>
      <c r="U479" s="954"/>
      <c r="V479" s="954"/>
      <c r="W479" s="955"/>
      <c r="X479" s="955"/>
      <c r="Y479" s="955"/>
      <c r="Z479" s="955"/>
      <c r="AA479" s="955"/>
      <c r="AB479" s="955"/>
      <c r="AC479" s="955"/>
      <c r="AD479" s="955"/>
      <c r="AN479" s="2">
        <v>11</v>
      </c>
      <c r="AO479" s="2">
        <v>105.6</v>
      </c>
      <c r="AP479" s="2">
        <v>0</v>
      </c>
      <c r="AQ479" s="2">
        <v>224.4</v>
      </c>
      <c r="AR479" s="2"/>
      <c r="AS479" s="2"/>
      <c r="AT479" s="2"/>
      <c r="AU479" s="2"/>
      <c r="AV479" s="2"/>
      <c r="AW479" s="2"/>
      <c r="AX479" s="2"/>
      <c r="AY479" s="2"/>
      <c r="AZ479" s="2"/>
      <c r="BA479" s="2"/>
      <c r="BB479" s="2"/>
      <c r="BC479" s="2"/>
    </row>
    <row r="480" spans="18:55">
      <c r="R480" s="954"/>
      <c r="S480" s="956"/>
      <c r="T480" s="954"/>
      <c r="U480" s="954"/>
      <c r="V480" s="954"/>
      <c r="W480" s="955"/>
      <c r="X480" s="955"/>
      <c r="Y480" s="955"/>
      <c r="Z480" s="955"/>
      <c r="AA480" s="955"/>
      <c r="AB480" s="955"/>
      <c r="AC480" s="955"/>
      <c r="AD480" s="955"/>
      <c r="AN480" s="2">
        <v>12</v>
      </c>
      <c r="AO480" s="2">
        <f t="shared" ref="AO480:AT486" si="91">((($AN480-$AN$479)*(AO$487-AO$479))/($AN$487-$AN$479))+AO$479</f>
        <v>107.19999999999999</v>
      </c>
      <c r="AP480" s="2">
        <f t="shared" si="91"/>
        <v>0</v>
      </c>
      <c r="AQ480" s="2">
        <f t="shared" si="91"/>
        <v>227.92500000000001</v>
      </c>
      <c r="AR480" s="2">
        <f t="shared" si="91"/>
        <v>1.6</v>
      </c>
      <c r="AS480" s="2">
        <f t="shared" si="91"/>
        <v>0</v>
      </c>
      <c r="AT480" s="2">
        <f t="shared" si="91"/>
        <v>3.5249999999999999</v>
      </c>
      <c r="AU480" s="2"/>
      <c r="AV480" s="2"/>
      <c r="AW480" s="2"/>
      <c r="AX480" s="2"/>
      <c r="AY480" s="2"/>
      <c r="AZ480" s="2"/>
      <c r="BA480" s="2"/>
      <c r="BB480" s="2"/>
      <c r="BC480" s="2"/>
    </row>
    <row r="481" spans="18:55">
      <c r="R481" s="1322" t="s">
        <v>2606</v>
      </c>
      <c r="S481" s="1328" t="s">
        <v>2613</v>
      </c>
      <c r="T481" s="1328"/>
      <c r="U481" s="1328"/>
      <c r="V481" s="1328"/>
      <c r="W481" s="1328"/>
      <c r="X481" s="1328"/>
      <c r="Y481" s="1328"/>
      <c r="Z481" s="1328"/>
      <c r="AA481" s="1328"/>
      <c r="AB481" s="1328"/>
      <c r="AC481" s="1328"/>
      <c r="AD481" s="1328"/>
      <c r="AN481" s="2">
        <v>13</v>
      </c>
      <c r="AO481" s="2">
        <f t="shared" si="91"/>
        <v>108.8</v>
      </c>
      <c r="AP481" s="2">
        <f t="shared" si="91"/>
        <v>0</v>
      </c>
      <c r="AQ481" s="2">
        <f t="shared" si="91"/>
        <v>231.45</v>
      </c>
      <c r="AR481" s="2">
        <f t="shared" si="91"/>
        <v>3.2</v>
      </c>
      <c r="AS481" s="2">
        <f t="shared" si="91"/>
        <v>0</v>
      </c>
      <c r="AT481" s="2">
        <f t="shared" si="91"/>
        <v>7.05</v>
      </c>
      <c r="AU481" s="2"/>
      <c r="AV481" s="2"/>
      <c r="AW481" s="2"/>
      <c r="AX481" s="2"/>
      <c r="AY481" s="2"/>
      <c r="AZ481" s="2"/>
      <c r="BA481" s="2"/>
      <c r="BB481" s="2"/>
      <c r="BC481" s="2"/>
    </row>
    <row r="482" spans="18:55">
      <c r="R482" s="1323"/>
      <c r="S482" s="1328" t="s">
        <v>1768</v>
      </c>
      <c r="T482" s="1328"/>
      <c r="U482" s="1328"/>
      <c r="V482" s="1328"/>
      <c r="W482" s="1328"/>
      <c r="X482" s="1328"/>
      <c r="Y482" s="1328" t="s">
        <v>1769</v>
      </c>
      <c r="Z482" s="1328"/>
      <c r="AA482" s="1328"/>
      <c r="AB482" s="1328"/>
      <c r="AC482" s="1328"/>
      <c r="AD482" s="1328"/>
      <c r="AN482" s="2">
        <v>14</v>
      </c>
      <c r="AO482" s="2">
        <f t="shared" si="91"/>
        <v>110.4</v>
      </c>
      <c r="AP482" s="2">
        <f t="shared" si="91"/>
        <v>0</v>
      </c>
      <c r="AQ482" s="2">
        <f t="shared" si="91"/>
        <v>234.97499999999999</v>
      </c>
      <c r="AR482" s="2">
        <f t="shared" si="91"/>
        <v>4.8000000000000007</v>
      </c>
      <c r="AS482" s="2">
        <f t="shared" si="91"/>
        <v>0</v>
      </c>
      <c r="AT482" s="2">
        <f t="shared" si="91"/>
        <v>10.574999999999999</v>
      </c>
      <c r="AU482" s="2"/>
      <c r="AV482" s="2"/>
      <c r="AW482" s="2"/>
      <c r="AX482" s="2"/>
      <c r="AY482" s="2"/>
      <c r="AZ482" s="2"/>
      <c r="BA482" s="2"/>
      <c r="BB482" s="2"/>
      <c r="BC482" s="2"/>
    </row>
    <row r="483" spans="18:55">
      <c r="R483" s="1324"/>
      <c r="S483" s="992" t="s">
        <v>2614</v>
      </c>
      <c r="T483" s="992" t="s">
        <v>2615</v>
      </c>
      <c r="U483" s="992" t="s">
        <v>2616</v>
      </c>
      <c r="V483" s="997" t="s">
        <v>2617</v>
      </c>
      <c r="W483" s="992" t="s">
        <v>2618</v>
      </c>
      <c r="X483" s="997" t="s">
        <v>2619</v>
      </c>
      <c r="Y483" s="992" t="s">
        <v>2614</v>
      </c>
      <c r="Z483" s="992" t="s">
        <v>2615</v>
      </c>
      <c r="AA483" s="992" t="s">
        <v>2616</v>
      </c>
      <c r="AB483" s="992" t="s">
        <v>2617</v>
      </c>
      <c r="AC483" s="992" t="s">
        <v>2618</v>
      </c>
      <c r="AD483" s="992" t="s">
        <v>2619</v>
      </c>
      <c r="AN483" s="2">
        <v>15</v>
      </c>
      <c r="AO483" s="2">
        <f t="shared" si="91"/>
        <v>112</v>
      </c>
      <c r="AP483" s="2">
        <f t="shared" si="91"/>
        <v>0</v>
      </c>
      <c r="AQ483" s="2">
        <f t="shared" si="91"/>
        <v>238.5</v>
      </c>
      <c r="AR483" s="2">
        <f t="shared" si="91"/>
        <v>6.4</v>
      </c>
      <c r="AS483" s="2">
        <f t="shared" si="91"/>
        <v>0</v>
      </c>
      <c r="AT483" s="2">
        <f t="shared" si="91"/>
        <v>14.1</v>
      </c>
      <c r="AU483" s="2"/>
      <c r="AV483" s="2"/>
      <c r="AW483" s="2"/>
      <c r="AX483" s="2"/>
      <c r="AY483" s="2"/>
      <c r="AZ483" s="2"/>
      <c r="BA483" s="2"/>
      <c r="BB483" s="2"/>
      <c r="BC483" s="2"/>
    </row>
    <row r="484" spans="18:55">
      <c r="R484" s="973">
        <v>0.5</v>
      </c>
      <c r="S484" s="998">
        <v>0.12</v>
      </c>
      <c r="T484" s="998">
        <v>0.09</v>
      </c>
      <c r="U484" s="998">
        <v>0.08</v>
      </c>
      <c r="V484" s="999">
        <v>7.0000000000000007E-2</v>
      </c>
      <c r="W484" s="998">
        <v>0.06</v>
      </c>
      <c r="X484" s="982">
        <v>0.06</v>
      </c>
      <c r="Y484" s="982">
        <v>0.16</v>
      </c>
      <c r="Z484" s="998">
        <v>0.12</v>
      </c>
      <c r="AA484" s="998">
        <v>0.1</v>
      </c>
      <c r="AB484" s="998">
        <v>0.09</v>
      </c>
      <c r="AC484" s="998">
        <v>0.09</v>
      </c>
      <c r="AD484" s="998">
        <v>0.08</v>
      </c>
      <c r="AN484" s="2">
        <v>16</v>
      </c>
      <c r="AO484" s="2">
        <f t="shared" si="91"/>
        <v>113.6</v>
      </c>
      <c r="AP484" s="2">
        <f t="shared" si="91"/>
        <v>0</v>
      </c>
      <c r="AQ484" s="2">
        <f t="shared" si="91"/>
        <v>242.02500000000001</v>
      </c>
      <c r="AR484" s="2">
        <f t="shared" si="91"/>
        <v>8</v>
      </c>
      <c r="AS484" s="2">
        <f t="shared" si="91"/>
        <v>0</v>
      </c>
      <c r="AT484" s="2">
        <f t="shared" si="91"/>
        <v>17.625</v>
      </c>
      <c r="AU484" s="2"/>
      <c r="AV484" s="2"/>
      <c r="AW484" s="2"/>
      <c r="AX484" s="2"/>
      <c r="AY484" s="2"/>
      <c r="AZ484" s="2"/>
      <c r="BA484" s="2"/>
      <c r="BB484" s="2"/>
      <c r="BC484" s="2"/>
    </row>
    <row r="485" spans="18:55">
      <c r="R485" s="973">
        <v>0.75</v>
      </c>
      <c r="S485" s="998">
        <v>0.14000000000000001</v>
      </c>
      <c r="T485" s="998">
        <v>0.1</v>
      </c>
      <c r="U485" s="998">
        <v>0.09</v>
      </c>
      <c r="V485" s="999">
        <v>0.08</v>
      </c>
      <c r="W485" s="998">
        <v>7.0000000000000007E-2</v>
      </c>
      <c r="X485" s="982">
        <v>7.0000000000000007E-2</v>
      </c>
      <c r="Y485" s="982">
        <v>0.18</v>
      </c>
      <c r="Z485" s="998">
        <v>0.14000000000000001</v>
      </c>
      <c r="AA485" s="998">
        <v>0.12</v>
      </c>
      <c r="AB485" s="998">
        <v>0.11</v>
      </c>
      <c r="AC485" s="998">
        <v>0.1</v>
      </c>
      <c r="AD485" s="998">
        <v>0.09</v>
      </c>
      <c r="AN485" s="2">
        <v>17</v>
      </c>
      <c r="AO485" s="2">
        <f t="shared" si="91"/>
        <v>115.2</v>
      </c>
      <c r="AP485" s="2">
        <f t="shared" si="91"/>
        <v>0</v>
      </c>
      <c r="AQ485" s="2">
        <f t="shared" si="91"/>
        <v>245.55</v>
      </c>
      <c r="AR485" s="2">
        <f t="shared" si="91"/>
        <v>9.6000000000000014</v>
      </c>
      <c r="AS485" s="2">
        <f t="shared" si="91"/>
        <v>0</v>
      </c>
      <c r="AT485" s="2">
        <f t="shared" si="91"/>
        <v>21.15</v>
      </c>
      <c r="AU485" s="2"/>
      <c r="AV485" s="2"/>
      <c r="AW485" s="2"/>
      <c r="AX485" s="2"/>
      <c r="AY485" s="2"/>
      <c r="AZ485" s="2"/>
      <c r="BA485" s="2"/>
      <c r="BB485" s="2"/>
      <c r="BC485" s="2"/>
    </row>
    <row r="486" spans="18:55">
      <c r="R486" s="998">
        <v>1</v>
      </c>
      <c r="S486" s="998">
        <v>0.16</v>
      </c>
      <c r="T486" s="998">
        <v>0.12</v>
      </c>
      <c r="U486" s="998">
        <v>0.1</v>
      </c>
      <c r="V486" s="999">
        <v>0.09</v>
      </c>
      <c r="W486" s="998">
        <v>0.08</v>
      </c>
      <c r="X486" s="982">
        <v>7.0000000000000007E-2</v>
      </c>
      <c r="Y486" s="982">
        <v>0.21</v>
      </c>
      <c r="Z486" s="998">
        <v>0.16</v>
      </c>
      <c r="AA486" s="998">
        <v>0.13</v>
      </c>
      <c r="AB486" s="998">
        <v>0.12</v>
      </c>
      <c r="AC486" s="998">
        <v>0.11</v>
      </c>
      <c r="AD486" s="998">
        <v>0.1</v>
      </c>
      <c r="AN486" s="2">
        <v>18</v>
      </c>
      <c r="AO486" s="2">
        <f t="shared" si="91"/>
        <v>116.80000000000001</v>
      </c>
      <c r="AP486" s="2">
        <f t="shared" si="91"/>
        <v>0</v>
      </c>
      <c r="AQ486" s="2">
        <f t="shared" si="91"/>
        <v>249.07499999999999</v>
      </c>
      <c r="AR486" s="2">
        <f t="shared" si="91"/>
        <v>11.200000000000001</v>
      </c>
      <c r="AS486" s="2">
        <f t="shared" si="91"/>
        <v>0</v>
      </c>
      <c r="AT486" s="2">
        <f t="shared" si="91"/>
        <v>24.675000000000001</v>
      </c>
      <c r="AU486" s="2"/>
      <c r="AV486" s="2"/>
      <c r="AW486" s="2"/>
      <c r="AX486" s="2"/>
      <c r="AY486" s="2"/>
      <c r="AZ486" s="2"/>
      <c r="BA486" s="2"/>
      <c r="BB486" s="2"/>
      <c r="BC486" s="2"/>
    </row>
    <row r="487" spans="18:55">
      <c r="R487" s="973">
        <v>1.25</v>
      </c>
      <c r="S487" s="998">
        <v>0.19</v>
      </c>
      <c r="T487" s="998">
        <v>0.14000000000000001</v>
      </c>
      <c r="U487" s="998">
        <v>0.11</v>
      </c>
      <c r="V487" s="999">
        <v>0.1</v>
      </c>
      <c r="W487" s="998">
        <v>0.09</v>
      </c>
      <c r="X487" s="982">
        <v>0.08</v>
      </c>
      <c r="Y487" s="982">
        <v>0.24</v>
      </c>
      <c r="Z487" s="998">
        <v>0.18</v>
      </c>
      <c r="AA487" s="998">
        <v>0.15</v>
      </c>
      <c r="AB487" s="998">
        <v>0.13</v>
      </c>
      <c r="AC487" s="998">
        <v>0.12</v>
      </c>
      <c r="AD487" s="998">
        <v>0.11</v>
      </c>
      <c r="AN487" s="2">
        <v>19</v>
      </c>
      <c r="AO487" s="2">
        <v>118.4</v>
      </c>
      <c r="AP487" s="2">
        <v>0</v>
      </c>
      <c r="AQ487" s="2">
        <v>252.6</v>
      </c>
      <c r="AR487" s="2">
        <v>12.8</v>
      </c>
      <c r="AS487" s="2">
        <v>0</v>
      </c>
      <c r="AT487" s="2">
        <v>28.2</v>
      </c>
      <c r="AU487" s="2"/>
      <c r="AV487" s="2"/>
      <c r="AW487" s="2"/>
      <c r="AX487" s="2"/>
      <c r="AY487" s="2"/>
      <c r="AZ487" s="2"/>
      <c r="BA487" s="2"/>
      <c r="BB487" s="2"/>
      <c r="BC487" s="2"/>
    </row>
    <row r="488" spans="18:55">
      <c r="R488" s="973">
        <v>1.5</v>
      </c>
      <c r="S488" s="998">
        <v>0.21</v>
      </c>
      <c r="T488" s="998">
        <v>0.15</v>
      </c>
      <c r="U488" s="998">
        <v>0.12</v>
      </c>
      <c r="V488" s="999">
        <v>0.1</v>
      </c>
      <c r="W488" s="998">
        <v>0.09</v>
      </c>
      <c r="X488" s="982">
        <v>0.09</v>
      </c>
      <c r="Y488" s="982">
        <v>0.27</v>
      </c>
      <c r="Z488" s="998">
        <v>0.2</v>
      </c>
      <c r="AA488" s="998">
        <v>0.16</v>
      </c>
      <c r="AB488" s="998">
        <v>0.14000000000000001</v>
      </c>
      <c r="AC488" s="998">
        <v>0.13</v>
      </c>
      <c r="AD488" s="998">
        <v>0.12</v>
      </c>
      <c r="AN488" s="2">
        <v>20</v>
      </c>
      <c r="AO488" s="2">
        <f t="shared" ref="AO488:BC497" si="92">((($AN488-$AN$487)*(AO$498-AO$487))/($AN$498-$AN$487))+AO$487</f>
        <v>119.08181818181819</v>
      </c>
      <c r="AP488" s="2">
        <f t="shared" si="92"/>
        <v>0</v>
      </c>
      <c r="AQ488" s="2">
        <f t="shared" si="92"/>
        <v>254.07272727272726</v>
      </c>
      <c r="AR488" s="2">
        <f t="shared" si="92"/>
        <v>13.481818181818182</v>
      </c>
      <c r="AS488" s="2">
        <f t="shared" si="92"/>
        <v>0</v>
      </c>
      <c r="AT488" s="2">
        <f t="shared" si="92"/>
        <v>29.672727272727272</v>
      </c>
      <c r="AU488" s="2">
        <f t="shared" si="92"/>
        <v>0.68181818181818177</v>
      </c>
      <c r="AV488" s="2">
        <f t="shared" si="92"/>
        <v>0</v>
      </c>
      <c r="AW488" s="2">
        <f t="shared" si="92"/>
        <v>1.4727272727272727</v>
      </c>
      <c r="AX488" s="2">
        <f t="shared" si="92"/>
        <v>0</v>
      </c>
      <c r="AY488" s="2">
        <f t="shared" si="92"/>
        <v>0</v>
      </c>
      <c r="AZ488" s="2">
        <f t="shared" si="92"/>
        <v>0</v>
      </c>
      <c r="BA488" s="2">
        <f t="shared" si="92"/>
        <v>0</v>
      </c>
      <c r="BB488" s="2">
        <f t="shared" si="92"/>
        <v>0</v>
      </c>
      <c r="BC488" s="2">
        <f t="shared" si="92"/>
        <v>0</v>
      </c>
    </row>
    <row r="489" spans="18:55">
      <c r="R489" s="973">
        <v>2</v>
      </c>
      <c r="S489" s="998">
        <v>0.25</v>
      </c>
      <c r="T489" s="998">
        <v>0.17</v>
      </c>
      <c r="U489" s="998">
        <v>0.14000000000000001</v>
      </c>
      <c r="V489" s="999">
        <v>0.12</v>
      </c>
      <c r="W489" s="998">
        <v>0.11</v>
      </c>
      <c r="X489" s="982">
        <v>0.1</v>
      </c>
      <c r="Y489" s="982">
        <v>0.32</v>
      </c>
      <c r="Z489" s="998">
        <v>0.23</v>
      </c>
      <c r="AA489" s="998">
        <v>0.19</v>
      </c>
      <c r="AB489" s="998">
        <v>0.16</v>
      </c>
      <c r="AC489" s="998">
        <v>0.15</v>
      </c>
      <c r="AD489" s="998">
        <v>0.13</v>
      </c>
      <c r="AN489" s="2">
        <v>21</v>
      </c>
      <c r="AO489" s="2">
        <f t="shared" si="92"/>
        <v>119.76363636363637</v>
      </c>
      <c r="AP489" s="2">
        <f t="shared" si="92"/>
        <v>0</v>
      </c>
      <c r="AQ489" s="2">
        <f t="shared" si="92"/>
        <v>255.54545454545453</v>
      </c>
      <c r="AR489" s="2">
        <f t="shared" si="92"/>
        <v>14.163636363636364</v>
      </c>
      <c r="AS489" s="2">
        <f t="shared" si="92"/>
        <v>0</v>
      </c>
      <c r="AT489" s="2">
        <f t="shared" si="92"/>
        <v>31.145454545454545</v>
      </c>
      <c r="AU489" s="2">
        <f t="shared" si="92"/>
        <v>1.3636363636363635</v>
      </c>
      <c r="AV489" s="2">
        <f t="shared" si="92"/>
        <v>0</v>
      </c>
      <c r="AW489" s="2">
        <f t="shared" si="92"/>
        <v>2.9454545454545453</v>
      </c>
      <c r="AX489" s="2">
        <f t="shared" si="92"/>
        <v>0</v>
      </c>
      <c r="AY489" s="2">
        <f t="shared" si="92"/>
        <v>0</v>
      </c>
      <c r="AZ489" s="2">
        <f t="shared" si="92"/>
        <v>0</v>
      </c>
      <c r="BA489" s="2">
        <f t="shared" si="92"/>
        <v>0</v>
      </c>
      <c r="BB489" s="2">
        <f t="shared" si="92"/>
        <v>0</v>
      </c>
      <c r="BC489" s="2">
        <f t="shared" si="92"/>
        <v>0</v>
      </c>
    </row>
    <row r="490" spans="18:55">
      <c r="R490" s="973">
        <v>2.5</v>
      </c>
      <c r="S490" s="998">
        <v>0.28999999999999998</v>
      </c>
      <c r="T490" s="998">
        <v>0.2</v>
      </c>
      <c r="U490" s="998">
        <v>0.16</v>
      </c>
      <c r="V490" s="999">
        <v>0.13</v>
      </c>
      <c r="W490" s="998">
        <v>0.12</v>
      </c>
      <c r="X490" s="982">
        <v>0.11</v>
      </c>
      <c r="Y490" s="982">
        <v>0.37</v>
      </c>
      <c r="Z490" s="998">
        <v>0.26</v>
      </c>
      <c r="AA490" s="998">
        <v>0.21</v>
      </c>
      <c r="AB490" s="998">
        <v>0.18</v>
      </c>
      <c r="AC490" s="998">
        <v>0.16</v>
      </c>
      <c r="AD490" s="998">
        <v>0.15</v>
      </c>
      <c r="AN490" s="2">
        <v>22</v>
      </c>
      <c r="AO490" s="2">
        <f t="shared" si="92"/>
        <v>120.44545454545455</v>
      </c>
      <c r="AP490" s="2">
        <f t="shared" si="92"/>
        <v>0</v>
      </c>
      <c r="AQ490" s="2">
        <f t="shared" si="92"/>
        <v>257.0181818181818</v>
      </c>
      <c r="AR490" s="2">
        <f t="shared" si="92"/>
        <v>14.845454545454546</v>
      </c>
      <c r="AS490" s="2">
        <f t="shared" si="92"/>
        <v>0</v>
      </c>
      <c r="AT490" s="2">
        <f t="shared" si="92"/>
        <v>32.618181818181817</v>
      </c>
      <c r="AU490" s="2">
        <f t="shared" si="92"/>
        <v>2.0454545454545454</v>
      </c>
      <c r="AV490" s="2">
        <f t="shared" si="92"/>
        <v>0</v>
      </c>
      <c r="AW490" s="2">
        <f t="shared" si="92"/>
        <v>4.418181818181818</v>
      </c>
      <c r="AX490" s="2">
        <f t="shared" si="92"/>
        <v>0</v>
      </c>
      <c r="AY490" s="2">
        <f t="shared" si="92"/>
        <v>0</v>
      </c>
      <c r="AZ490" s="2">
        <f t="shared" si="92"/>
        <v>0</v>
      </c>
      <c r="BA490" s="2">
        <f t="shared" si="92"/>
        <v>0</v>
      </c>
      <c r="BB490" s="2">
        <f t="shared" si="92"/>
        <v>0</v>
      </c>
      <c r="BC490" s="2">
        <f t="shared" si="92"/>
        <v>0</v>
      </c>
    </row>
    <row r="491" spans="18:55">
      <c r="R491" s="973">
        <v>3</v>
      </c>
      <c r="S491" s="998">
        <v>0.34</v>
      </c>
      <c r="T491" s="998">
        <v>0.23</v>
      </c>
      <c r="U491" s="998">
        <v>0.18</v>
      </c>
      <c r="V491" s="999">
        <v>0.15</v>
      </c>
      <c r="W491" s="998">
        <v>0.13</v>
      </c>
      <c r="X491" s="982">
        <v>0.12</v>
      </c>
      <c r="Y491" s="982">
        <v>0.43</v>
      </c>
      <c r="Z491" s="998">
        <v>0.3</v>
      </c>
      <c r="AA491" s="998">
        <v>0.24</v>
      </c>
      <c r="AB491" s="998">
        <v>0.21</v>
      </c>
      <c r="AC491" s="998">
        <v>0.18</v>
      </c>
      <c r="AD491" s="998">
        <v>0.17</v>
      </c>
      <c r="AN491" s="2">
        <v>23</v>
      </c>
      <c r="AO491" s="2">
        <f t="shared" si="92"/>
        <v>121.12727272727274</v>
      </c>
      <c r="AP491" s="2">
        <f t="shared" si="92"/>
        <v>0</v>
      </c>
      <c r="AQ491" s="2">
        <f t="shared" si="92"/>
        <v>258.4909090909091</v>
      </c>
      <c r="AR491" s="2">
        <f t="shared" si="92"/>
        <v>15.527272727272727</v>
      </c>
      <c r="AS491" s="2">
        <f t="shared" si="92"/>
        <v>0</v>
      </c>
      <c r="AT491" s="2">
        <f t="shared" si="92"/>
        <v>34.090909090909093</v>
      </c>
      <c r="AU491" s="2">
        <f t="shared" si="92"/>
        <v>2.7272727272727271</v>
      </c>
      <c r="AV491" s="2">
        <f t="shared" si="92"/>
        <v>0</v>
      </c>
      <c r="AW491" s="2">
        <f t="shared" si="92"/>
        <v>5.8909090909090907</v>
      </c>
      <c r="AX491" s="2">
        <f t="shared" si="92"/>
        <v>0</v>
      </c>
      <c r="AY491" s="2">
        <f t="shared" si="92"/>
        <v>0</v>
      </c>
      <c r="AZ491" s="2">
        <f t="shared" si="92"/>
        <v>0</v>
      </c>
      <c r="BA491" s="2">
        <f t="shared" si="92"/>
        <v>0</v>
      </c>
      <c r="BB491" s="2">
        <f t="shared" si="92"/>
        <v>0</v>
      </c>
      <c r="BC491" s="2">
        <f t="shared" si="92"/>
        <v>0</v>
      </c>
    </row>
    <row r="492" spans="18:55">
      <c r="R492" s="973">
        <v>3.5</v>
      </c>
      <c r="S492" s="998">
        <v>0.38</v>
      </c>
      <c r="T492" s="998">
        <v>0.26</v>
      </c>
      <c r="U492" s="998">
        <v>0.2</v>
      </c>
      <c r="V492" s="999">
        <v>0.17</v>
      </c>
      <c r="W492" s="998">
        <v>0.15</v>
      </c>
      <c r="X492" s="982">
        <v>0.13</v>
      </c>
      <c r="Y492" s="982">
        <v>0.47</v>
      </c>
      <c r="Z492" s="998">
        <v>0.33</v>
      </c>
      <c r="AA492" s="998">
        <v>0.27</v>
      </c>
      <c r="AB492" s="998">
        <v>0.23</v>
      </c>
      <c r="AC492" s="998">
        <v>0.2</v>
      </c>
      <c r="AD492" s="998">
        <v>0.18</v>
      </c>
      <c r="AN492" s="2">
        <v>24</v>
      </c>
      <c r="AO492" s="2">
        <f t="shared" si="92"/>
        <v>121.80909090909091</v>
      </c>
      <c r="AP492" s="2">
        <f t="shared" si="92"/>
        <v>0</v>
      </c>
      <c r="AQ492" s="2">
        <f t="shared" si="92"/>
        <v>259.96363636363634</v>
      </c>
      <c r="AR492" s="2">
        <f t="shared" si="92"/>
        <v>16.209090909090911</v>
      </c>
      <c r="AS492" s="2">
        <f t="shared" si="92"/>
        <v>0</v>
      </c>
      <c r="AT492" s="2">
        <f t="shared" si="92"/>
        <v>35.563636363636363</v>
      </c>
      <c r="AU492" s="2">
        <f t="shared" si="92"/>
        <v>3.4090909090909092</v>
      </c>
      <c r="AV492" s="2">
        <f t="shared" si="92"/>
        <v>0</v>
      </c>
      <c r="AW492" s="2">
        <f t="shared" si="92"/>
        <v>7.3636363636363633</v>
      </c>
      <c r="AX492" s="2">
        <f t="shared" si="92"/>
        <v>0</v>
      </c>
      <c r="AY492" s="2">
        <f t="shared" si="92"/>
        <v>0</v>
      </c>
      <c r="AZ492" s="2">
        <f t="shared" si="92"/>
        <v>0</v>
      </c>
      <c r="BA492" s="2">
        <f t="shared" si="92"/>
        <v>0</v>
      </c>
      <c r="BB492" s="2">
        <f t="shared" si="92"/>
        <v>0</v>
      </c>
      <c r="BC492" s="2">
        <f t="shared" si="92"/>
        <v>0</v>
      </c>
    </row>
    <row r="493" spans="18:55">
      <c r="R493" s="973">
        <v>4</v>
      </c>
      <c r="S493" s="998">
        <v>0.42</v>
      </c>
      <c r="T493" s="998">
        <v>0.28000000000000003</v>
      </c>
      <c r="U493" s="998">
        <v>0.22</v>
      </c>
      <c r="V493" s="999">
        <v>0.18</v>
      </c>
      <c r="W493" s="998">
        <v>0.16</v>
      </c>
      <c r="X493" s="982">
        <v>0.14000000000000001</v>
      </c>
      <c r="Y493" s="982">
        <v>0.52</v>
      </c>
      <c r="Z493" s="998">
        <v>0.36</v>
      </c>
      <c r="AA493" s="998">
        <v>0.28999999999999998</v>
      </c>
      <c r="AB493" s="998">
        <v>0.25</v>
      </c>
      <c r="AC493" s="998">
        <v>0.22</v>
      </c>
      <c r="AD493" s="998">
        <v>0.2</v>
      </c>
      <c r="AN493" s="2">
        <v>25</v>
      </c>
      <c r="AO493" s="2">
        <f t="shared" si="92"/>
        <v>122.4909090909091</v>
      </c>
      <c r="AP493" s="2">
        <f t="shared" si="92"/>
        <v>0</v>
      </c>
      <c r="AQ493" s="2">
        <f t="shared" si="92"/>
        <v>261.43636363636364</v>
      </c>
      <c r="AR493" s="2">
        <f t="shared" si="92"/>
        <v>16.890909090909091</v>
      </c>
      <c r="AS493" s="2">
        <f t="shared" si="92"/>
        <v>0</v>
      </c>
      <c r="AT493" s="2">
        <f t="shared" si="92"/>
        <v>37.036363636363632</v>
      </c>
      <c r="AU493" s="2">
        <f t="shared" si="92"/>
        <v>4.0909090909090908</v>
      </c>
      <c r="AV493" s="2">
        <f t="shared" si="92"/>
        <v>0</v>
      </c>
      <c r="AW493" s="2">
        <f t="shared" si="92"/>
        <v>8.836363636363636</v>
      </c>
      <c r="AX493" s="2">
        <f t="shared" si="92"/>
        <v>0</v>
      </c>
      <c r="AY493" s="2">
        <f t="shared" si="92"/>
        <v>0</v>
      </c>
      <c r="AZ493" s="2">
        <f t="shared" si="92"/>
        <v>0</v>
      </c>
      <c r="BA493" s="2">
        <f t="shared" si="92"/>
        <v>0</v>
      </c>
      <c r="BB493" s="2">
        <f t="shared" si="92"/>
        <v>0</v>
      </c>
      <c r="BC493" s="2">
        <f t="shared" si="92"/>
        <v>0</v>
      </c>
    </row>
    <row r="494" spans="18:55">
      <c r="R494" s="973">
        <v>5</v>
      </c>
      <c r="S494" s="998">
        <v>0.51</v>
      </c>
      <c r="T494" s="998">
        <v>0.33</v>
      </c>
      <c r="U494" s="998">
        <v>0.26</v>
      </c>
      <c r="V494" s="999">
        <v>0.21</v>
      </c>
      <c r="W494" s="998">
        <v>0.18</v>
      </c>
      <c r="X494" s="982">
        <v>0.16</v>
      </c>
      <c r="Y494" s="982">
        <v>0.63</v>
      </c>
      <c r="Z494" s="998">
        <v>0.43</v>
      </c>
      <c r="AA494" s="998">
        <v>0.34</v>
      </c>
      <c r="AB494" s="998">
        <v>0.28999999999999998</v>
      </c>
      <c r="AC494" s="998">
        <v>0.25</v>
      </c>
      <c r="AD494" s="998">
        <v>0.23</v>
      </c>
      <c r="AN494" s="2">
        <v>26</v>
      </c>
      <c r="AO494" s="2">
        <f t="shared" si="92"/>
        <v>123.17272727272727</v>
      </c>
      <c r="AP494" s="2">
        <f t="shared" si="92"/>
        <v>0</v>
      </c>
      <c r="AQ494" s="2">
        <f t="shared" si="92"/>
        <v>262.90909090909093</v>
      </c>
      <c r="AR494" s="2">
        <f t="shared" si="92"/>
        <v>17.572727272727274</v>
      </c>
      <c r="AS494" s="2">
        <f t="shared" si="92"/>
        <v>0</v>
      </c>
      <c r="AT494" s="2">
        <f t="shared" si="92"/>
        <v>38.509090909090908</v>
      </c>
      <c r="AU494" s="2">
        <f t="shared" si="92"/>
        <v>4.7727272727272725</v>
      </c>
      <c r="AV494" s="2">
        <f t="shared" si="92"/>
        <v>0</v>
      </c>
      <c r="AW494" s="2">
        <f t="shared" si="92"/>
        <v>10.309090909090909</v>
      </c>
      <c r="AX494" s="2">
        <f t="shared" si="92"/>
        <v>0</v>
      </c>
      <c r="AY494" s="2">
        <f t="shared" si="92"/>
        <v>0</v>
      </c>
      <c r="AZ494" s="2">
        <f t="shared" si="92"/>
        <v>0</v>
      </c>
      <c r="BA494" s="2">
        <f t="shared" si="92"/>
        <v>0</v>
      </c>
      <c r="BB494" s="2">
        <f t="shared" si="92"/>
        <v>0</v>
      </c>
      <c r="BC494" s="2">
        <f t="shared" si="92"/>
        <v>0</v>
      </c>
    </row>
    <row r="495" spans="18:55">
      <c r="R495" s="973">
        <v>6</v>
      </c>
      <c r="S495" s="998">
        <v>0.59</v>
      </c>
      <c r="T495" s="998">
        <v>0.38</v>
      </c>
      <c r="U495" s="998">
        <v>0.28999999999999998</v>
      </c>
      <c r="V495" s="999">
        <v>0.24</v>
      </c>
      <c r="W495" s="998">
        <v>0.21</v>
      </c>
      <c r="X495" s="982">
        <v>0.19</v>
      </c>
      <c r="Y495" s="982">
        <v>0.73</v>
      </c>
      <c r="Z495" s="998">
        <v>0.5</v>
      </c>
      <c r="AA495" s="998">
        <v>0.39</v>
      </c>
      <c r="AB495" s="998">
        <v>0.33</v>
      </c>
      <c r="AC495" s="998">
        <v>0.28000000000000003</v>
      </c>
      <c r="AD495" s="998">
        <v>0.25</v>
      </c>
      <c r="AN495" s="2">
        <v>27</v>
      </c>
      <c r="AO495" s="2">
        <f t="shared" si="92"/>
        <v>123.85454545454546</v>
      </c>
      <c r="AP495" s="2">
        <f t="shared" si="92"/>
        <v>0</v>
      </c>
      <c r="AQ495" s="2">
        <f t="shared" si="92"/>
        <v>264.38181818181818</v>
      </c>
      <c r="AR495" s="2">
        <f t="shared" si="92"/>
        <v>18.254545454545454</v>
      </c>
      <c r="AS495" s="2">
        <f t="shared" si="92"/>
        <v>0</v>
      </c>
      <c r="AT495" s="2">
        <f t="shared" si="92"/>
        <v>39.981818181818184</v>
      </c>
      <c r="AU495" s="2">
        <f t="shared" si="92"/>
        <v>5.4545454545454541</v>
      </c>
      <c r="AV495" s="2">
        <f t="shared" si="92"/>
        <v>0</v>
      </c>
      <c r="AW495" s="2">
        <f t="shared" si="92"/>
        <v>11.781818181818181</v>
      </c>
      <c r="AX495" s="2">
        <f t="shared" si="92"/>
        <v>0</v>
      </c>
      <c r="AY495" s="2">
        <f t="shared" si="92"/>
        <v>0</v>
      </c>
      <c r="AZ495" s="2">
        <f t="shared" si="92"/>
        <v>0</v>
      </c>
      <c r="BA495" s="2">
        <f t="shared" si="92"/>
        <v>0</v>
      </c>
      <c r="BB495" s="2">
        <f t="shared" si="92"/>
        <v>0</v>
      </c>
      <c r="BC495" s="2">
        <f t="shared" si="92"/>
        <v>0</v>
      </c>
    </row>
    <row r="496" spans="18:55">
      <c r="R496" s="973">
        <v>8</v>
      </c>
      <c r="S496" s="998">
        <v>0.75</v>
      </c>
      <c r="T496" s="998">
        <v>0.48</v>
      </c>
      <c r="U496" s="998">
        <v>0.36</v>
      </c>
      <c r="V496" s="999">
        <v>0.3</v>
      </c>
      <c r="W496" s="998">
        <v>0.26</v>
      </c>
      <c r="X496" s="982">
        <v>0.23</v>
      </c>
      <c r="Y496" s="982">
        <v>0.91</v>
      </c>
      <c r="Z496" s="998">
        <v>0.62</v>
      </c>
      <c r="AA496" s="998">
        <v>0.48</v>
      </c>
      <c r="AB496" s="998">
        <v>0.4</v>
      </c>
      <c r="AC496" s="998">
        <v>0.35</v>
      </c>
      <c r="AD496" s="998">
        <v>0.31</v>
      </c>
      <c r="AN496" s="2">
        <v>28</v>
      </c>
      <c r="AO496" s="2">
        <f t="shared" si="92"/>
        <v>124.53636363636365</v>
      </c>
      <c r="AP496" s="2">
        <f t="shared" si="92"/>
        <v>0</v>
      </c>
      <c r="AQ496" s="2">
        <f t="shared" si="92"/>
        <v>265.85454545454547</v>
      </c>
      <c r="AR496" s="2">
        <f t="shared" si="92"/>
        <v>18.936363636363637</v>
      </c>
      <c r="AS496" s="2">
        <f t="shared" si="92"/>
        <v>0</v>
      </c>
      <c r="AT496" s="2">
        <f t="shared" si="92"/>
        <v>41.454545454545453</v>
      </c>
      <c r="AU496" s="2">
        <f t="shared" si="92"/>
        <v>6.1363636363636367</v>
      </c>
      <c r="AV496" s="2">
        <f t="shared" si="92"/>
        <v>0</v>
      </c>
      <c r="AW496" s="2">
        <f t="shared" si="92"/>
        <v>13.254545454545452</v>
      </c>
      <c r="AX496" s="2">
        <f t="shared" si="92"/>
        <v>0</v>
      </c>
      <c r="AY496" s="2">
        <f t="shared" si="92"/>
        <v>0</v>
      </c>
      <c r="AZ496" s="2">
        <f t="shared" si="92"/>
        <v>0</v>
      </c>
      <c r="BA496" s="2">
        <f t="shared" si="92"/>
        <v>0</v>
      </c>
      <c r="BB496" s="2">
        <f t="shared" si="92"/>
        <v>0</v>
      </c>
      <c r="BC496" s="2">
        <f t="shared" si="92"/>
        <v>0</v>
      </c>
    </row>
    <row r="497" spans="18:55">
      <c r="AN497" s="2">
        <v>29</v>
      </c>
      <c r="AO497" s="2">
        <f t="shared" si="92"/>
        <v>125.21818181818182</v>
      </c>
      <c r="AP497" s="2">
        <f t="shared" si="92"/>
        <v>0</v>
      </c>
      <c r="AQ497" s="2">
        <f t="shared" si="92"/>
        <v>267.32727272727271</v>
      </c>
      <c r="AR497" s="2">
        <f t="shared" si="92"/>
        <v>19.618181818181817</v>
      </c>
      <c r="AS497" s="2">
        <f t="shared" si="92"/>
        <v>0</v>
      </c>
      <c r="AT497" s="2">
        <f t="shared" si="92"/>
        <v>42.927272727272722</v>
      </c>
      <c r="AU497" s="2">
        <f t="shared" si="92"/>
        <v>6.8181818181818183</v>
      </c>
      <c r="AV497" s="2">
        <f t="shared" si="92"/>
        <v>0</v>
      </c>
      <c r="AW497" s="2">
        <f t="shared" si="92"/>
        <v>14.727272727272727</v>
      </c>
      <c r="AX497" s="2">
        <f t="shared" si="92"/>
        <v>0</v>
      </c>
      <c r="AY497" s="2">
        <f t="shared" si="92"/>
        <v>0</v>
      </c>
      <c r="AZ497" s="2">
        <f t="shared" si="92"/>
        <v>0</v>
      </c>
      <c r="BA497" s="2">
        <f t="shared" si="92"/>
        <v>0</v>
      </c>
      <c r="BB497" s="2">
        <f t="shared" si="92"/>
        <v>0</v>
      </c>
      <c r="BC497" s="2">
        <f t="shared" si="92"/>
        <v>0</v>
      </c>
    </row>
    <row r="498" spans="18:55">
      <c r="AN498" s="2">
        <v>30</v>
      </c>
      <c r="AO498" s="2">
        <v>125.9</v>
      </c>
      <c r="AP498" s="2">
        <v>0</v>
      </c>
      <c r="AQ498" s="2">
        <v>268.8</v>
      </c>
      <c r="AR498" s="2">
        <v>20.3</v>
      </c>
      <c r="AS498" s="2">
        <v>0</v>
      </c>
      <c r="AT498" s="2">
        <v>44.4</v>
      </c>
      <c r="AU498" s="2">
        <v>7.5</v>
      </c>
      <c r="AV498" s="2">
        <v>0</v>
      </c>
      <c r="AW498" s="2">
        <v>16.2</v>
      </c>
      <c r="AX498" s="2"/>
      <c r="AY498" s="2"/>
      <c r="AZ498" s="2"/>
      <c r="BA498" s="2"/>
      <c r="BB498" s="2"/>
      <c r="BC498" s="2"/>
    </row>
    <row r="499" spans="18:55">
      <c r="AN499" s="2">
        <v>31</v>
      </c>
      <c r="AO499" s="2">
        <v>126.2625</v>
      </c>
      <c r="AP499" s="2">
        <v>0</v>
      </c>
      <c r="AQ499" s="2">
        <v>269.58750000000003</v>
      </c>
      <c r="AR499" s="2">
        <v>20.662500000000001</v>
      </c>
      <c r="AS499" s="2">
        <v>0</v>
      </c>
      <c r="AT499" s="2">
        <v>45.1875</v>
      </c>
      <c r="AU499" s="2">
        <v>7.8624999999999998</v>
      </c>
      <c r="AV499" s="2">
        <v>0</v>
      </c>
      <c r="AW499" s="2">
        <v>16.987500000000001</v>
      </c>
      <c r="AX499" s="2">
        <v>0.36249999999999999</v>
      </c>
      <c r="AY499" s="2">
        <v>0</v>
      </c>
      <c r="AZ499" s="2">
        <v>0.78749999999999998</v>
      </c>
      <c r="BA499" s="2">
        <v>0</v>
      </c>
      <c r="BB499" s="2">
        <v>0</v>
      </c>
      <c r="BC499" s="2">
        <v>0</v>
      </c>
    </row>
    <row r="500" spans="18:55">
      <c r="R500" s="1260" t="s">
        <v>1880</v>
      </c>
      <c r="S500" s="1260"/>
      <c r="T500" s="1260"/>
      <c r="U500" s="1260"/>
      <c r="V500" s="1260"/>
      <c r="W500" s="1260"/>
      <c r="X500" s="1260"/>
      <c r="Y500" s="1260"/>
      <c r="Z500" s="1260"/>
      <c r="AA500" s="1260"/>
      <c r="AB500" s="1260"/>
      <c r="AC500" s="1260"/>
      <c r="AD500" s="1260"/>
      <c r="AE500" s="1260"/>
      <c r="AF500" s="1260"/>
      <c r="AG500" s="1261"/>
      <c r="AN500" s="2">
        <v>32</v>
      </c>
      <c r="AO500" s="2">
        <v>126.625</v>
      </c>
      <c r="AP500" s="2">
        <v>0</v>
      </c>
      <c r="AQ500" s="2">
        <v>270.375</v>
      </c>
      <c r="AR500" s="2">
        <v>21.024999999999999</v>
      </c>
      <c r="AS500" s="2">
        <v>0</v>
      </c>
      <c r="AT500" s="2">
        <v>45.975000000000001</v>
      </c>
      <c r="AU500" s="2">
        <v>8.2249999999999996</v>
      </c>
      <c r="AV500" s="2">
        <v>0</v>
      </c>
      <c r="AW500" s="2">
        <v>17.774999999999999</v>
      </c>
      <c r="AX500" s="2">
        <v>0.72499999999999998</v>
      </c>
      <c r="AY500" s="2">
        <v>0</v>
      </c>
      <c r="AZ500" s="2">
        <v>1.575</v>
      </c>
      <c r="BA500" s="2">
        <v>0</v>
      </c>
      <c r="BB500" s="2">
        <v>0</v>
      </c>
      <c r="BC500" s="2">
        <v>0</v>
      </c>
    </row>
    <row r="501" spans="18:55">
      <c r="AN501" s="2">
        <v>33</v>
      </c>
      <c r="AO501" s="2">
        <v>126.98750000000001</v>
      </c>
      <c r="AP501" s="2">
        <v>0</v>
      </c>
      <c r="AQ501" s="2">
        <v>271.16250000000002</v>
      </c>
      <c r="AR501" s="2">
        <v>21.387499999999999</v>
      </c>
      <c r="AS501" s="2">
        <v>0</v>
      </c>
      <c r="AT501" s="2">
        <v>46.762500000000003</v>
      </c>
      <c r="AU501" s="2">
        <v>8.5875000000000004</v>
      </c>
      <c r="AV501" s="2">
        <v>0</v>
      </c>
      <c r="AW501" s="2">
        <v>18.5625</v>
      </c>
      <c r="AX501" s="2">
        <v>1.0874999999999999</v>
      </c>
      <c r="AY501" s="2">
        <v>0</v>
      </c>
      <c r="AZ501" s="2">
        <v>2.3624999999999998</v>
      </c>
      <c r="BA501" s="2">
        <v>0</v>
      </c>
      <c r="BB501" s="2">
        <v>0</v>
      </c>
      <c r="BC501" s="2">
        <v>0</v>
      </c>
    </row>
    <row r="502" spans="18:55">
      <c r="R502" s="810"/>
      <c r="AN502" s="2">
        <v>34</v>
      </c>
      <c r="AO502" s="2">
        <v>127.35000000000001</v>
      </c>
      <c r="AP502" s="2">
        <v>0</v>
      </c>
      <c r="AQ502" s="2">
        <v>271.95000000000005</v>
      </c>
      <c r="AR502" s="2">
        <v>21.75</v>
      </c>
      <c r="AS502" s="2">
        <v>0</v>
      </c>
      <c r="AT502" s="2">
        <v>47.55</v>
      </c>
      <c r="AU502" s="2">
        <v>8.9499999999999993</v>
      </c>
      <c r="AV502" s="2">
        <v>0</v>
      </c>
      <c r="AW502" s="2">
        <v>19.350000000000001</v>
      </c>
      <c r="AX502" s="2">
        <v>1.45</v>
      </c>
      <c r="AY502" s="2">
        <v>0</v>
      </c>
      <c r="AZ502" s="2">
        <v>3.15</v>
      </c>
      <c r="BA502" s="2">
        <v>0</v>
      </c>
      <c r="BB502" s="2">
        <v>0</v>
      </c>
      <c r="BC502" s="2">
        <v>0</v>
      </c>
    </row>
    <row r="503" spans="18:55">
      <c r="AN503" s="2">
        <v>35</v>
      </c>
      <c r="AO503" s="2">
        <v>127.71250000000001</v>
      </c>
      <c r="AP503" s="2">
        <v>0</v>
      </c>
      <c r="AQ503" s="2">
        <v>272.73750000000001</v>
      </c>
      <c r="AR503" s="2">
        <v>22.112500000000001</v>
      </c>
      <c r="AS503" s="2">
        <v>0</v>
      </c>
      <c r="AT503" s="2">
        <v>48.337499999999999</v>
      </c>
      <c r="AU503" s="2">
        <v>9.3125</v>
      </c>
      <c r="AV503" s="2">
        <v>0</v>
      </c>
      <c r="AW503" s="2">
        <v>20.137499999999999</v>
      </c>
      <c r="AX503" s="2">
        <v>1.8125</v>
      </c>
      <c r="AY503" s="2">
        <v>0</v>
      </c>
      <c r="AZ503" s="2">
        <v>3.9375</v>
      </c>
      <c r="BA503" s="2">
        <v>0</v>
      </c>
      <c r="BB503" s="2">
        <v>0</v>
      </c>
      <c r="BC503" s="2">
        <v>0</v>
      </c>
    </row>
    <row r="504" spans="18:55">
      <c r="R504" t="s">
        <v>1285</v>
      </c>
      <c r="AN504" s="2">
        <v>36</v>
      </c>
      <c r="AO504" s="2">
        <v>128.07500000000002</v>
      </c>
      <c r="AP504" s="2">
        <v>0</v>
      </c>
      <c r="AQ504" s="2">
        <v>273.52500000000003</v>
      </c>
      <c r="AR504" s="2">
        <v>22.475000000000001</v>
      </c>
      <c r="AS504" s="2">
        <v>0</v>
      </c>
      <c r="AT504" s="2">
        <v>49.125</v>
      </c>
      <c r="AU504" s="2">
        <v>9.6750000000000007</v>
      </c>
      <c r="AV504" s="2">
        <v>0</v>
      </c>
      <c r="AW504" s="2">
        <v>20.925000000000001</v>
      </c>
      <c r="AX504" s="2">
        <v>2.1749999999999998</v>
      </c>
      <c r="AY504" s="2">
        <v>0</v>
      </c>
      <c r="AZ504" s="2">
        <v>4.7249999999999996</v>
      </c>
      <c r="BA504" s="2">
        <v>0</v>
      </c>
      <c r="BB504" s="2">
        <v>0</v>
      </c>
      <c r="BC504" s="2">
        <v>0</v>
      </c>
    </row>
    <row r="505" spans="18:55">
      <c r="R505" s="403" t="s">
        <v>1083</v>
      </c>
      <c r="S505" s="451" t="s">
        <v>1310</v>
      </c>
      <c r="T505" s="439" t="s">
        <v>1311</v>
      </c>
      <c r="AN505" s="2">
        <v>37</v>
      </c>
      <c r="AO505" s="2">
        <v>128.4375</v>
      </c>
      <c r="AP505" s="2">
        <v>0</v>
      </c>
      <c r="AQ505" s="2">
        <v>274.3125</v>
      </c>
      <c r="AR505" s="2">
        <v>22.837499999999999</v>
      </c>
      <c r="AS505" s="2">
        <v>0</v>
      </c>
      <c r="AT505" s="2">
        <v>49.912500000000001</v>
      </c>
      <c r="AU505" s="2">
        <v>10.037500000000001</v>
      </c>
      <c r="AV505" s="2">
        <v>0</v>
      </c>
      <c r="AW505" s="2">
        <v>21.712499999999999</v>
      </c>
      <c r="AX505" s="2">
        <v>2.5375000000000001</v>
      </c>
      <c r="AY505" s="2">
        <v>0</v>
      </c>
      <c r="AZ505" s="2">
        <v>5.5125000000000002</v>
      </c>
      <c r="BA505" s="2">
        <v>0</v>
      </c>
      <c r="BB505" s="2">
        <v>0</v>
      </c>
      <c r="BC505" s="2">
        <v>0</v>
      </c>
    </row>
    <row r="506" spans="18:55">
      <c r="R506" s="820" t="s">
        <v>787</v>
      </c>
      <c r="S506" s="899">
        <v>250</v>
      </c>
      <c r="T506" s="900">
        <v>500</v>
      </c>
      <c r="AN506" s="2">
        <v>38</v>
      </c>
      <c r="AO506" s="2">
        <v>128.80000000000001</v>
      </c>
      <c r="AP506" s="2">
        <v>0</v>
      </c>
      <c r="AQ506" s="2">
        <v>275.10000000000002</v>
      </c>
      <c r="AR506" s="2">
        <v>23.2</v>
      </c>
      <c r="AS506" s="2">
        <v>0</v>
      </c>
      <c r="AT506" s="2">
        <v>50.7</v>
      </c>
      <c r="AU506" s="2">
        <v>10.4</v>
      </c>
      <c r="AV506" s="2">
        <v>0</v>
      </c>
      <c r="AW506" s="2">
        <v>22.5</v>
      </c>
      <c r="AX506" s="2">
        <v>2.9</v>
      </c>
      <c r="AY506" s="2">
        <v>0</v>
      </c>
      <c r="AZ506" s="2">
        <v>6.3</v>
      </c>
      <c r="BA506" s="2"/>
      <c r="BB506" s="2"/>
      <c r="BC506" s="2"/>
    </row>
    <row r="507" spans="18:55">
      <c r="R507" s="805" t="s">
        <v>785</v>
      </c>
      <c r="S507" s="834">
        <v>250</v>
      </c>
      <c r="T507" s="901">
        <v>500</v>
      </c>
      <c r="AN507" s="2">
        <v>39</v>
      </c>
      <c r="AO507" s="2">
        <v>129.03636363636366</v>
      </c>
      <c r="AP507" s="2">
        <v>0</v>
      </c>
      <c r="AQ507" s="2">
        <v>275.60909090909092</v>
      </c>
      <c r="AR507" s="2">
        <v>23.436363636363637</v>
      </c>
      <c r="AS507" s="2">
        <v>0</v>
      </c>
      <c r="AT507" s="2">
        <v>51.209090909090911</v>
      </c>
      <c r="AU507" s="2">
        <v>10.636363636363637</v>
      </c>
      <c r="AV507" s="2">
        <v>0</v>
      </c>
      <c r="AW507" s="2">
        <v>23.018181818181819</v>
      </c>
      <c r="AX507" s="2">
        <v>3.1363636363636362</v>
      </c>
      <c r="AY507" s="2">
        <v>0</v>
      </c>
      <c r="AZ507" s="2">
        <v>6.8090909090909086</v>
      </c>
      <c r="BA507" s="2">
        <v>0.23636363636363636</v>
      </c>
      <c r="BB507" s="2">
        <v>0</v>
      </c>
      <c r="BC507" s="2">
        <v>0.50909090909090904</v>
      </c>
    </row>
    <row r="508" spans="18:55">
      <c r="R508" s="827" t="s">
        <v>783</v>
      </c>
      <c r="S508" s="902">
        <v>500</v>
      </c>
      <c r="T508" s="903">
        <v>3000</v>
      </c>
      <c r="AN508" s="2">
        <v>40</v>
      </c>
      <c r="AO508" s="2">
        <v>129.27272727272728</v>
      </c>
      <c r="AP508" s="2">
        <v>0</v>
      </c>
      <c r="AQ508" s="2">
        <v>276.11818181818182</v>
      </c>
      <c r="AR508" s="2">
        <v>23.672727272727272</v>
      </c>
      <c r="AS508" s="2">
        <v>0</v>
      </c>
      <c r="AT508" s="2">
        <v>51.718181818181819</v>
      </c>
      <c r="AU508" s="2">
        <v>10.872727272727273</v>
      </c>
      <c r="AV508" s="2">
        <v>0</v>
      </c>
      <c r="AW508" s="2">
        <v>23.536363636363635</v>
      </c>
      <c r="AX508" s="2">
        <v>3.3727272727272726</v>
      </c>
      <c r="AY508" s="2">
        <v>0</v>
      </c>
      <c r="AZ508" s="2">
        <v>7.3181818181818183</v>
      </c>
      <c r="BA508" s="2">
        <v>0.47272727272727272</v>
      </c>
      <c r="BB508" s="2">
        <v>0</v>
      </c>
      <c r="BC508" s="2">
        <v>1.0181818181818181</v>
      </c>
    </row>
    <row r="509" spans="18:55">
      <c r="AN509" s="2">
        <v>41</v>
      </c>
      <c r="AO509" s="2">
        <v>129.50909090909093</v>
      </c>
      <c r="AP509" s="2">
        <v>0</v>
      </c>
      <c r="AQ509" s="2">
        <v>276.62727272727273</v>
      </c>
      <c r="AR509" s="2">
        <v>23.90909090909091</v>
      </c>
      <c r="AS509" s="2">
        <v>0</v>
      </c>
      <c r="AT509" s="2">
        <v>52.227272727272727</v>
      </c>
      <c r="AU509" s="2">
        <v>11.109090909090909</v>
      </c>
      <c r="AV509" s="2">
        <v>0</v>
      </c>
      <c r="AW509" s="2">
        <v>24.054545454545455</v>
      </c>
      <c r="AX509" s="2">
        <v>3.6090909090909089</v>
      </c>
      <c r="AY509" s="2">
        <v>0</v>
      </c>
      <c r="AZ509" s="2">
        <v>7.8272727272727272</v>
      </c>
      <c r="BA509" s="2">
        <v>0.70909090909090911</v>
      </c>
      <c r="BB509" s="2">
        <v>0</v>
      </c>
      <c r="BC509" s="2">
        <v>1.5272727272727271</v>
      </c>
    </row>
    <row r="510" spans="18:55">
      <c r="AN510" s="2">
        <v>42</v>
      </c>
      <c r="AO510" s="2">
        <v>129.74545454545455</v>
      </c>
      <c r="AP510" s="2">
        <v>0</v>
      </c>
      <c r="AQ510" s="2">
        <v>277.13636363636363</v>
      </c>
      <c r="AR510" s="2">
        <v>24.145454545454545</v>
      </c>
      <c r="AS510" s="2">
        <v>0</v>
      </c>
      <c r="AT510" s="2">
        <v>52.736363636363635</v>
      </c>
      <c r="AU510" s="2">
        <v>11.345454545454546</v>
      </c>
      <c r="AV510" s="2">
        <v>0</v>
      </c>
      <c r="AW510" s="2">
        <v>24.572727272727271</v>
      </c>
      <c r="AX510" s="2">
        <v>3.8454545454545452</v>
      </c>
      <c r="AY510" s="2">
        <v>0</v>
      </c>
      <c r="AZ510" s="2">
        <v>8.336363636363636</v>
      </c>
      <c r="BA510" s="2">
        <v>0.94545454545454544</v>
      </c>
      <c r="BB510" s="2">
        <v>0</v>
      </c>
      <c r="BC510" s="2">
        <v>2.0363636363636362</v>
      </c>
    </row>
    <row r="511" spans="18:55">
      <c r="AN511" s="2">
        <v>43</v>
      </c>
      <c r="AO511" s="2">
        <v>129.9818181818182</v>
      </c>
      <c r="AP511" s="2">
        <v>0</v>
      </c>
      <c r="AQ511" s="2">
        <v>277.64545454545453</v>
      </c>
      <c r="AR511" s="2">
        <v>24.381818181818183</v>
      </c>
      <c r="AS511" s="2">
        <v>0</v>
      </c>
      <c r="AT511" s="2">
        <v>53.245454545454542</v>
      </c>
      <c r="AU511" s="2">
        <v>11.581818181818182</v>
      </c>
      <c r="AV511" s="2">
        <v>0</v>
      </c>
      <c r="AW511" s="2">
        <v>25.09090909090909</v>
      </c>
      <c r="AX511" s="2">
        <v>4.081818181818182</v>
      </c>
      <c r="AY511" s="2">
        <v>0</v>
      </c>
      <c r="AZ511" s="2">
        <v>8.8454545454545457</v>
      </c>
      <c r="BA511" s="2">
        <v>1.1818181818181819</v>
      </c>
      <c r="BB511" s="2">
        <v>0</v>
      </c>
      <c r="BC511" s="2">
        <v>2.5454545454545454</v>
      </c>
    </row>
    <row r="512" spans="18:55">
      <c r="AN512" s="2">
        <v>44</v>
      </c>
      <c r="AO512" s="2">
        <v>130.21818181818182</v>
      </c>
      <c r="AP512" s="2">
        <v>0</v>
      </c>
      <c r="AQ512" s="2">
        <v>278.15454545454548</v>
      </c>
      <c r="AR512" s="2">
        <v>24.618181818181817</v>
      </c>
      <c r="AS512" s="2">
        <v>0</v>
      </c>
      <c r="AT512" s="2">
        <v>53.754545454545458</v>
      </c>
      <c r="AU512" s="2">
        <v>11.818181818181818</v>
      </c>
      <c r="AV512" s="2">
        <v>0</v>
      </c>
      <c r="AW512" s="2">
        <v>25.609090909090909</v>
      </c>
      <c r="AX512" s="2">
        <v>4.3181818181818183</v>
      </c>
      <c r="AY512" s="2">
        <v>0</v>
      </c>
      <c r="AZ512" s="2">
        <v>9.3545454545454554</v>
      </c>
      <c r="BA512" s="2">
        <v>1.4181818181818182</v>
      </c>
      <c r="BB512" s="2">
        <v>0</v>
      </c>
      <c r="BC512" s="2">
        <v>3.0545454545454542</v>
      </c>
    </row>
    <row r="513" spans="40:55">
      <c r="AN513" s="2">
        <v>45</v>
      </c>
      <c r="AO513" s="2">
        <v>130.45454545454547</v>
      </c>
      <c r="AP513" s="2">
        <v>0</v>
      </c>
      <c r="AQ513" s="2">
        <v>278.66363636363639</v>
      </c>
      <c r="AR513" s="2">
        <v>24.854545454545455</v>
      </c>
      <c r="AS513" s="2">
        <v>0</v>
      </c>
      <c r="AT513" s="2">
        <v>54.263636363636365</v>
      </c>
      <c r="AU513" s="2">
        <v>12.054545454545455</v>
      </c>
      <c r="AV513" s="2">
        <v>0</v>
      </c>
      <c r="AW513" s="2">
        <v>26.127272727272725</v>
      </c>
      <c r="AX513" s="2">
        <v>4.5545454545454547</v>
      </c>
      <c r="AY513" s="2">
        <v>0</v>
      </c>
      <c r="AZ513" s="2">
        <v>9.8636363636363633</v>
      </c>
      <c r="BA513" s="2">
        <v>1.6545454545454545</v>
      </c>
      <c r="BB513" s="2">
        <v>0</v>
      </c>
      <c r="BC513" s="2">
        <v>3.563636363636363</v>
      </c>
    </row>
    <row r="514" spans="40:55">
      <c r="AN514" s="2">
        <v>46</v>
      </c>
      <c r="AO514" s="2">
        <v>130.69090909090909</v>
      </c>
      <c r="AP514" s="2">
        <v>0</v>
      </c>
      <c r="AQ514" s="2">
        <v>279.17272727272729</v>
      </c>
      <c r="AR514" s="2">
        <v>25.09090909090909</v>
      </c>
      <c r="AS514" s="2">
        <v>0</v>
      </c>
      <c r="AT514" s="2">
        <v>54.772727272727273</v>
      </c>
      <c r="AU514" s="2">
        <v>12.290909090909091</v>
      </c>
      <c r="AV514" s="2">
        <v>0</v>
      </c>
      <c r="AW514" s="2">
        <v>26.645454545454545</v>
      </c>
      <c r="AX514" s="2">
        <v>4.790909090909091</v>
      </c>
      <c r="AY514" s="2">
        <v>0</v>
      </c>
      <c r="AZ514" s="2">
        <v>10.372727272727273</v>
      </c>
      <c r="BA514" s="2">
        <v>1.8909090909090909</v>
      </c>
      <c r="BB514" s="2">
        <v>0</v>
      </c>
      <c r="BC514" s="2">
        <v>4.0727272727272723</v>
      </c>
    </row>
    <row r="515" spans="40:55">
      <c r="AN515" s="2">
        <v>47</v>
      </c>
      <c r="AO515" s="2">
        <v>130.92727272727274</v>
      </c>
      <c r="AP515" s="2">
        <v>0</v>
      </c>
      <c r="AQ515" s="2">
        <v>279.68181818181819</v>
      </c>
      <c r="AR515" s="2">
        <v>25.327272727272728</v>
      </c>
      <c r="AS515" s="2">
        <v>0</v>
      </c>
      <c r="AT515" s="2">
        <v>55.281818181818181</v>
      </c>
      <c r="AU515" s="2">
        <v>12.527272727272727</v>
      </c>
      <c r="AV515" s="2">
        <v>0</v>
      </c>
      <c r="AW515" s="2">
        <v>27.163636363636364</v>
      </c>
      <c r="AX515" s="2">
        <v>5.0272727272727273</v>
      </c>
      <c r="AY515" s="2">
        <v>0</v>
      </c>
      <c r="AZ515" s="2">
        <v>10.881818181818183</v>
      </c>
      <c r="BA515" s="2">
        <v>2.1272727272727274</v>
      </c>
      <c r="BB515" s="2">
        <v>0</v>
      </c>
      <c r="BC515" s="2">
        <v>4.581818181818182</v>
      </c>
    </row>
    <row r="516" spans="40:55">
      <c r="AN516" s="2">
        <v>48</v>
      </c>
      <c r="AO516" s="2">
        <v>131.16363636363636</v>
      </c>
      <c r="AP516" s="2">
        <v>0</v>
      </c>
      <c r="AQ516" s="2">
        <v>280.19090909090909</v>
      </c>
      <c r="AR516" s="2">
        <v>25.563636363636363</v>
      </c>
      <c r="AS516" s="2">
        <v>0</v>
      </c>
      <c r="AT516" s="2">
        <v>55.790909090909089</v>
      </c>
      <c r="AU516" s="2">
        <v>12.763636363636364</v>
      </c>
      <c r="AV516" s="2">
        <v>0</v>
      </c>
      <c r="AW516" s="2">
        <v>27.68181818181818</v>
      </c>
      <c r="AX516" s="2">
        <v>5.2636363636363637</v>
      </c>
      <c r="AY516" s="2">
        <v>0</v>
      </c>
      <c r="AZ516" s="2">
        <v>11.390909090909091</v>
      </c>
      <c r="BA516" s="2">
        <v>2.3636363636363638</v>
      </c>
      <c r="BB516" s="2">
        <v>0</v>
      </c>
      <c r="BC516" s="2">
        <v>5.0909090909090908</v>
      </c>
    </row>
    <row r="517" spans="40:55">
      <c r="AN517" s="2">
        <v>49</v>
      </c>
      <c r="AO517" s="2">
        <v>131.4</v>
      </c>
      <c r="AP517" s="2">
        <v>0</v>
      </c>
      <c r="AQ517" s="2">
        <v>280.7</v>
      </c>
      <c r="AR517" s="2">
        <v>25.8</v>
      </c>
      <c r="AS517" s="2">
        <v>0</v>
      </c>
      <c r="AT517" s="2">
        <v>56.3</v>
      </c>
      <c r="AU517" s="2">
        <v>13</v>
      </c>
      <c r="AV517" s="2">
        <v>0</v>
      </c>
      <c r="AW517" s="2">
        <v>28.2</v>
      </c>
      <c r="AX517" s="2">
        <v>5.5</v>
      </c>
      <c r="AY517" s="2">
        <v>0</v>
      </c>
      <c r="AZ517" s="2">
        <v>11.9</v>
      </c>
      <c r="BA517" s="2">
        <v>2.6</v>
      </c>
      <c r="BB517" s="2">
        <v>0</v>
      </c>
      <c r="BC517" s="2">
        <v>5.6</v>
      </c>
    </row>
    <row r="518" spans="40:55">
      <c r="AN518" s="2">
        <v>50</v>
      </c>
      <c r="AO518" s="2">
        <v>131.55454545454546</v>
      </c>
      <c r="AP518" s="2">
        <v>0</v>
      </c>
      <c r="AQ518" s="2">
        <v>281.0272727272727</v>
      </c>
      <c r="AR518" s="2">
        <v>25.954545454545457</v>
      </c>
      <c r="AS518" s="2">
        <v>0</v>
      </c>
      <c r="AT518" s="2">
        <v>56.627272727272725</v>
      </c>
      <c r="AU518" s="2">
        <v>13.154545454545454</v>
      </c>
      <c r="AV518" s="2">
        <v>0</v>
      </c>
      <c r="AW518" s="2">
        <v>28.518181818181816</v>
      </c>
      <c r="AX518" s="2">
        <v>5.6545454545454543</v>
      </c>
      <c r="AY518" s="2">
        <v>0</v>
      </c>
      <c r="AZ518" s="2">
        <v>12.227272727272728</v>
      </c>
      <c r="BA518" s="2">
        <v>2.7545454545454544</v>
      </c>
      <c r="BB518" s="2">
        <v>0</v>
      </c>
      <c r="BC518" s="2">
        <v>5.9272727272727268</v>
      </c>
    </row>
    <row r="519" spans="40:55">
      <c r="AN519" s="2">
        <v>51</v>
      </c>
      <c r="AO519" s="2">
        <v>131.70909090909092</v>
      </c>
      <c r="AP519" s="2">
        <v>0</v>
      </c>
      <c r="AQ519" s="2">
        <v>281.35454545454547</v>
      </c>
      <c r="AR519" s="2">
        <v>26.109090909090909</v>
      </c>
      <c r="AS519" s="2">
        <v>0</v>
      </c>
      <c r="AT519" s="2">
        <v>56.954545454545453</v>
      </c>
      <c r="AU519" s="2">
        <v>13.309090909090909</v>
      </c>
      <c r="AV519" s="2">
        <v>0</v>
      </c>
      <c r="AW519" s="2">
        <v>28.836363636363636</v>
      </c>
      <c r="AX519" s="2">
        <v>5.8090909090909095</v>
      </c>
      <c r="AY519" s="2">
        <v>0</v>
      </c>
      <c r="AZ519" s="2">
        <v>12.554545454545455</v>
      </c>
      <c r="BA519" s="2">
        <v>2.9090909090909092</v>
      </c>
      <c r="BB519" s="2">
        <v>0</v>
      </c>
      <c r="BC519" s="2">
        <v>6.254545454545454</v>
      </c>
    </row>
    <row r="520" spans="40:55">
      <c r="AN520" s="2">
        <v>52</v>
      </c>
      <c r="AO520" s="2">
        <v>131.86363636363637</v>
      </c>
      <c r="AP520" s="2">
        <v>0</v>
      </c>
      <c r="AQ520" s="2">
        <v>281.68181818181819</v>
      </c>
      <c r="AR520" s="2">
        <v>26.263636363636365</v>
      </c>
      <c r="AS520" s="2">
        <v>0</v>
      </c>
      <c r="AT520" s="2">
        <v>57.281818181818181</v>
      </c>
      <c r="AU520" s="2">
        <v>13.463636363636363</v>
      </c>
      <c r="AV520" s="2">
        <v>0</v>
      </c>
      <c r="AW520" s="2">
        <v>29.154545454545453</v>
      </c>
      <c r="AX520" s="2">
        <v>5.9636363636363638</v>
      </c>
      <c r="AY520" s="2">
        <v>0</v>
      </c>
      <c r="AZ520" s="2">
        <v>12.881818181818183</v>
      </c>
      <c r="BA520" s="2">
        <v>3.0636363636363635</v>
      </c>
      <c r="BB520" s="2">
        <v>0</v>
      </c>
      <c r="BC520" s="2">
        <v>6.5818181818181811</v>
      </c>
    </row>
    <row r="521" spans="40:55">
      <c r="AN521" s="2">
        <v>53</v>
      </c>
      <c r="AO521" s="2">
        <v>132.01818181818183</v>
      </c>
      <c r="AP521" s="2">
        <v>0</v>
      </c>
      <c r="AQ521" s="2">
        <v>282.0090909090909</v>
      </c>
      <c r="AR521" s="2">
        <v>26.418181818181818</v>
      </c>
      <c r="AS521" s="2">
        <v>0</v>
      </c>
      <c r="AT521" s="2">
        <v>57.609090909090909</v>
      </c>
      <c r="AU521" s="2">
        <v>13.618181818181817</v>
      </c>
      <c r="AV521" s="2">
        <v>0</v>
      </c>
      <c r="AW521" s="2">
        <v>29.472727272727273</v>
      </c>
      <c r="AX521" s="2">
        <v>6.1181818181818182</v>
      </c>
      <c r="AY521" s="2">
        <v>0</v>
      </c>
      <c r="AZ521" s="2">
        <v>13.209090909090909</v>
      </c>
      <c r="BA521" s="2">
        <v>3.2181818181818183</v>
      </c>
      <c r="BB521" s="2">
        <v>0</v>
      </c>
      <c r="BC521" s="2">
        <v>6.9090909090909083</v>
      </c>
    </row>
    <row r="522" spans="40:55">
      <c r="AN522" s="2">
        <v>54</v>
      </c>
      <c r="AO522" s="2">
        <v>132.17272727272729</v>
      </c>
      <c r="AP522" s="2">
        <v>0</v>
      </c>
      <c r="AQ522" s="2">
        <v>282.33636363636361</v>
      </c>
      <c r="AR522" s="2">
        <v>26.572727272727274</v>
      </c>
      <c r="AS522" s="2">
        <v>0</v>
      </c>
      <c r="AT522" s="2">
        <v>57.936363636363637</v>
      </c>
      <c r="AU522" s="2">
        <v>13.772727272727272</v>
      </c>
      <c r="AV522" s="2">
        <v>0</v>
      </c>
      <c r="AW522" s="2">
        <v>29.790909090909089</v>
      </c>
      <c r="AX522" s="2">
        <v>6.2727272727272725</v>
      </c>
      <c r="AY522" s="2">
        <v>0</v>
      </c>
      <c r="AZ522" s="2">
        <v>13.536363636363637</v>
      </c>
      <c r="BA522" s="2">
        <v>3.3727272727272726</v>
      </c>
      <c r="BB522" s="2">
        <v>0</v>
      </c>
      <c r="BC522" s="2">
        <v>7.2363636363636363</v>
      </c>
    </row>
    <row r="523" spans="40:55">
      <c r="AN523" s="2">
        <v>55</v>
      </c>
      <c r="AO523" s="2">
        <v>132.32727272727271</v>
      </c>
      <c r="AP523" s="2">
        <v>0</v>
      </c>
      <c r="AQ523" s="2">
        <v>282.66363636363639</v>
      </c>
      <c r="AR523" s="2">
        <v>26.727272727272727</v>
      </c>
      <c r="AS523" s="2">
        <v>0</v>
      </c>
      <c r="AT523" s="2">
        <v>58.263636363636358</v>
      </c>
      <c r="AU523" s="2">
        <v>13.927272727272728</v>
      </c>
      <c r="AV523" s="2">
        <v>0</v>
      </c>
      <c r="AW523" s="2">
        <v>30.109090909090909</v>
      </c>
      <c r="AX523" s="2">
        <v>6.4272727272727277</v>
      </c>
      <c r="AY523" s="2">
        <v>0</v>
      </c>
      <c r="AZ523" s="2">
        <v>13.863636363636363</v>
      </c>
      <c r="BA523" s="2">
        <v>3.5272727272727273</v>
      </c>
      <c r="BB523" s="2">
        <v>0</v>
      </c>
      <c r="BC523" s="2">
        <v>7.5636363636363626</v>
      </c>
    </row>
    <row r="524" spans="40:55">
      <c r="AN524" s="2">
        <v>56</v>
      </c>
      <c r="AO524" s="2">
        <v>132.48181818181817</v>
      </c>
      <c r="AP524" s="2">
        <v>0</v>
      </c>
      <c r="AQ524" s="2">
        <v>282.9909090909091</v>
      </c>
      <c r="AR524" s="2">
        <v>26.881818181818183</v>
      </c>
      <c r="AS524" s="2">
        <v>0</v>
      </c>
      <c r="AT524" s="2">
        <v>58.590909090909086</v>
      </c>
      <c r="AU524" s="2">
        <v>14.081818181818182</v>
      </c>
      <c r="AV524" s="2">
        <v>0</v>
      </c>
      <c r="AW524" s="2">
        <v>30.427272727272726</v>
      </c>
      <c r="AX524" s="2">
        <v>6.581818181818182</v>
      </c>
      <c r="AY524" s="2">
        <v>0</v>
      </c>
      <c r="AZ524" s="2">
        <v>14.190909090909091</v>
      </c>
      <c r="BA524" s="2">
        <v>3.6818181818181817</v>
      </c>
      <c r="BB524" s="2">
        <v>0</v>
      </c>
      <c r="BC524" s="2">
        <v>7.8909090909090907</v>
      </c>
    </row>
    <row r="525" spans="40:55">
      <c r="AN525" s="2">
        <v>57</v>
      </c>
      <c r="AO525" s="2">
        <v>132.63636363636363</v>
      </c>
      <c r="AP525" s="2">
        <v>0</v>
      </c>
      <c r="AQ525" s="2">
        <v>283.31818181818181</v>
      </c>
      <c r="AR525" s="2">
        <v>27.036363636363635</v>
      </c>
      <c r="AS525" s="2">
        <v>0</v>
      </c>
      <c r="AT525" s="2">
        <v>58.918181818181814</v>
      </c>
      <c r="AU525" s="2">
        <v>14.236363636363636</v>
      </c>
      <c r="AV525" s="2">
        <v>0</v>
      </c>
      <c r="AW525" s="2">
        <v>30.745454545454546</v>
      </c>
      <c r="AX525" s="2">
        <v>6.7363636363636363</v>
      </c>
      <c r="AY525" s="2">
        <v>0</v>
      </c>
      <c r="AZ525" s="2">
        <v>14.518181818181818</v>
      </c>
      <c r="BA525" s="2">
        <v>3.836363636363636</v>
      </c>
      <c r="BB525" s="2">
        <v>0</v>
      </c>
      <c r="BC525" s="2">
        <v>8.2181818181818169</v>
      </c>
    </row>
    <row r="526" spans="40:55">
      <c r="AN526" s="2">
        <v>58</v>
      </c>
      <c r="AO526" s="2">
        <v>132.79090909090908</v>
      </c>
      <c r="AP526" s="2">
        <v>0</v>
      </c>
      <c r="AQ526" s="2">
        <v>283.64545454545453</v>
      </c>
      <c r="AR526" s="2">
        <v>27.190909090909091</v>
      </c>
      <c r="AS526" s="2">
        <v>0</v>
      </c>
      <c r="AT526" s="2">
        <v>59.245454545454542</v>
      </c>
      <c r="AU526" s="2">
        <v>14.390909090909091</v>
      </c>
      <c r="AV526" s="2">
        <v>0</v>
      </c>
      <c r="AW526" s="2">
        <v>31.063636363636363</v>
      </c>
      <c r="AX526" s="2">
        <v>6.8909090909090907</v>
      </c>
      <c r="AY526" s="2">
        <v>0</v>
      </c>
      <c r="AZ526" s="2">
        <v>14.845454545454546</v>
      </c>
      <c r="BA526" s="2">
        <v>3.9909090909090907</v>
      </c>
      <c r="BB526" s="2">
        <v>0</v>
      </c>
      <c r="BC526" s="2">
        <v>8.545454545454545</v>
      </c>
    </row>
    <row r="527" spans="40:55">
      <c r="AN527" s="2">
        <v>59</v>
      </c>
      <c r="AO527" s="2">
        <v>132.94545454545454</v>
      </c>
      <c r="AP527" s="2">
        <v>0</v>
      </c>
      <c r="AQ527" s="2">
        <v>283.9727272727273</v>
      </c>
      <c r="AR527" s="2">
        <v>27.345454545454544</v>
      </c>
      <c r="AS527" s="2">
        <v>0</v>
      </c>
      <c r="AT527" s="2">
        <v>59.572727272727271</v>
      </c>
      <c r="AU527" s="2">
        <v>14.545454545454545</v>
      </c>
      <c r="AV527" s="2">
        <v>0</v>
      </c>
      <c r="AW527" s="2">
        <v>31.381818181818183</v>
      </c>
      <c r="AX527" s="2">
        <v>7.045454545454545</v>
      </c>
      <c r="AY527" s="2">
        <v>0</v>
      </c>
      <c r="AZ527" s="2">
        <v>15.172727272727274</v>
      </c>
      <c r="BA527" s="2">
        <v>4.1454545454545455</v>
      </c>
      <c r="BB527" s="2">
        <v>0</v>
      </c>
      <c r="BC527" s="2">
        <v>8.872727272727273</v>
      </c>
    </row>
    <row r="528" spans="40:55">
      <c r="AN528" s="2">
        <v>60</v>
      </c>
      <c r="AO528" s="2">
        <v>133.1</v>
      </c>
      <c r="AP528" s="2">
        <v>0</v>
      </c>
      <c r="AQ528" s="2">
        <v>284.3</v>
      </c>
      <c r="AR528" s="2">
        <v>27.5</v>
      </c>
      <c r="AS528" s="2">
        <v>0</v>
      </c>
      <c r="AT528" s="2">
        <v>59.9</v>
      </c>
      <c r="AU528" s="2">
        <v>14.7</v>
      </c>
      <c r="AV528" s="2">
        <v>0</v>
      </c>
      <c r="AW528" s="2">
        <v>31.7</v>
      </c>
      <c r="AX528" s="2">
        <v>7.2</v>
      </c>
      <c r="AY528" s="2">
        <v>0</v>
      </c>
      <c r="AZ528" s="2">
        <v>15.5</v>
      </c>
      <c r="BA528" s="2">
        <v>4.3</v>
      </c>
      <c r="BB528" s="2">
        <v>0</v>
      </c>
      <c r="BC528" s="2">
        <v>9.1999999999999993</v>
      </c>
    </row>
  </sheetData>
  <mergeCells count="402">
    <mergeCell ref="A38:C38"/>
    <mergeCell ref="R500:AG500"/>
    <mergeCell ref="R399:AG399"/>
    <mergeCell ref="R341:AG341"/>
    <mergeCell ref="R447:U447"/>
    <mergeCell ref="R463:R465"/>
    <mergeCell ref="S463:Y463"/>
    <mergeCell ref="S464:U464"/>
    <mergeCell ref="V464:W464"/>
    <mergeCell ref="X464:Y464"/>
    <mergeCell ref="R481:R483"/>
    <mergeCell ref="S481:AD481"/>
    <mergeCell ref="S482:X482"/>
    <mergeCell ref="Y482:AD482"/>
    <mergeCell ref="T362:W362"/>
    <mergeCell ref="T392:V392"/>
    <mergeCell ref="R436:W436"/>
    <mergeCell ref="T437:W437"/>
    <mergeCell ref="R438:R444"/>
    <mergeCell ref="T438:W438"/>
    <mergeCell ref="T439:W439"/>
    <mergeCell ref="T440:W440"/>
    <mergeCell ref="T441:W441"/>
    <mergeCell ref="T442:W442"/>
    <mergeCell ref="X280:AA280"/>
    <mergeCell ref="X281:AA281"/>
    <mergeCell ref="X282:AA282"/>
    <mergeCell ref="X283:AA283"/>
    <mergeCell ref="T443:W443"/>
    <mergeCell ref="T444:W444"/>
    <mergeCell ref="V303:Z303"/>
    <mergeCell ref="T348:Y348"/>
    <mergeCell ref="V349:Y349"/>
    <mergeCell ref="T350:T359"/>
    <mergeCell ref="V350:Y350"/>
    <mergeCell ref="U351:U354"/>
    <mergeCell ref="V351:Y351"/>
    <mergeCell ref="V352:Y352"/>
    <mergeCell ref="V353:Y353"/>
    <mergeCell ref="V354:Y354"/>
    <mergeCell ref="V355:Y355"/>
    <mergeCell ref="V356:Y356"/>
    <mergeCell ref="V357:Y357"/>
    <mergeCell ref="V358:Y358"/>
    <mergeCell ref="V359:Y359"/>
    <mergeCell ref="AY58:AZ58"/>
    <mergeCell ref="AY68:AZ68"/>
    <mergeCell ref="BB68:BC68"/>
    <mergeCell ref="AN120:AN121"/>
    <mergeCell ref="AO120:AO121"/>
    <mergeCell ref="AS120:AT120"/>
    <mergeCell ref="AP120:AP121"/>
    <mergeCell ref="AQ120:AQ121"/>
    <mergeCell ref="V286:Y286"/>
    <mergeCell ref="V232:V238"/>
    <mergeCell ref="X232:AA232"/>
    <mergeCell ref="X233:AA233"/>
    <mergeCell ref="X234:AA234"/>
    <mergeCell ref="X235:AA235"/>
    <mergeCell ref="X236:AA236"/>
    <mergeCell ref="X237:AA237"/>
    <mergeCell ref="X238:AA238"/>
    <mergeCell ref="V241:Y241"/>
    <mergeCell ref="V275:AA275"/>
    <mergeCell ref="X276:AA276"/>
    <mergeCell ref="V277:V283"/>
    <mergeCell ref="X277:AA277"/>
    <mergeCell ref="X278:AA278"/>
    <mergeCell ref="X279:AA279"/>
    <mergeCell ref="AY216:AZ216"/>
    <mergeCell ref="AP216:AQ216"/>
    <mergeCell ref="AO226:AQ226"/>
    <mergeCell ref="AR226:AT226"/>
    <mergeCell ref="AU226:AW226"/>
    <mergeCell ref="AX226:AZ226"/>
    <mergeCell ref="BA226:BC226"/>
    <mergeCell ref="AY217:AZ217"/>
    <mergeCell ref="AY218:AZ218"/>
    <mergeCell ref="AY219:AZ219"/>
    <mergeCell ref="AY220:AZ220"/>
    <mergeCell ref="BB220:BC220"/>
    <mergeCell ref="AS220:AT220"/>
    <mergeCell ref="AV220:AW220"/>
    <mergeCell ref="AP217:AQ217"/>
    <mergeCell ref="AP218:AQ218"/>
    <mergeCell ref="AP219:AQ219"/>
    <mergeCell ref="AP220:AQ220"/>
    <mergeCell ref="AS218:AT218"/>
    <mergeCell ref="AS219:AT219"/>
    <mergeCell ref="AV218:AW218"/>
    <mergeCell ref="AV219:AW219"/>
    <mergeCell ref="BB218:BC218"/>
    <mergeCell ref="BB219:BC219"/>
    <mergeCell ref="BB212:BC212"/>
    <mergeCell ref="BB213:BC213"/>
    <mergeCell ref="AY208:AZ208"/>
    <mergeCell ref="AY209:AZ209"/>
    <mergeCell ref="AY210:AZ210"/>
    <mergeCell ref="AY211:AZ211"/>
    <mergeCell ref="AY212:AZ212"/>
    <mergeCell ref="AY213:AZ213"/>
    <mergeCell ref="AY214:AZ214"/>
    <mergeCell ref="BB214:BC214"/>
    <mergeCell ref="BB215:BC215"/>
    <mergeCell ref="BB216:BC216"/>
    <mergeCell ref="BB217:BC217"/>
    <mergeCell ref="AS208:AT208"/>
    <mergeCell ref="AP208:AQ208"/>
    <mergeCell ref="AV211:AW211"/>
    <mergeCell ref="AV212:AW212"/>
    <mergeCell ref="AV213:AW213"/>
    <mergeCell ref="AV214:AW214"/>
    <mergeCell ref="AV215:AW215"/>
    <mergeCell ref="AV216:AW216"/>
    <mergeCell ref="AV217:AW217"/>
    <mergeCell ref="AS209:AT209"/>
    <mergeCell ref="AS210:AT210"/>
    <mergeCell ref="AS211:AT211"/>
    <mergeCell ref="AS212:AT212"/>
    <mergeCell ref="AS213:AT213"/>
    <mergeCell ref="AS214:AT214"/>
    <mergeCell ref="AS215:AT215"/>
    <mergeCell ref="AS216:AT216"/>
    <mergeCell ref="AS217:AT217"/>
    <mergeCell ref="AP209:AQ209"/>
    <mergeCell ref="AP210:AQ210"/>
    <mergeCell ref="AP212:AQ212"/>
    <mergeCell ref="AP213:AQ213"/>
    <mergeCell ref="AP214:AQ214"/>
    <mergeCell ref="AP215:AQ215"/>
    <mergeCell ref="AY205:AZ205"/>
    <mergeCell ref="AY206:AZ206"/>
    <mergeCell ref="AY207:AZ207"/>
    <mergeCell ref="AS204:AT204"/>
    <mergeCell ref="AS203:AT203"/>
    <mergeCell ref="AP207:AQ207"/>
    <mergeCell ref="AP203:AQ203"/>
    <mergeCell ref="AV208:AW208"/>
    <mergeCell ref="AV209:AW209"/>
    <mergeCell ref="AV210:AW210"/>
    <mergeCell ref="AY215:AZ215"/>
    <mergeCell ref="AY196:AZ196"/>
    <mergeCell ref="BB196:BC196"/>
    <mergeCell ref="AP204:AQ204"/>
    <mergeCell ref="AP205:AQ205"/>
    <mergeCell ref="AP206:AQ206"/>
    <mergeCell ref="BB203:BC203"/>
    <mergeCell ref="BB204:BC204"/>
    <mergeCell ref="BB205:BC205"/>
    <mergeCell ref="AP211:AQ211"/>
    <mergeCell ref="AP196:AQ196"/>
    <mergeCell ref="AO202:AQ202"/>
    <mergeCell ref="BA202:BC202"/>
    <mergeCell ref="BB208:BC208"/>
    <mergeCell ref="BB209:BC209"/>
    <mergeCell ref="BB210:BC210"/>
    <mergeCell ref="BB211:BC211"/>
    <mergeCell ref="AS190:AT190"/>
    <mergeCell ref="AV190:AW190"/>
    <mergeCell ref="AY190:AZ190"/>
    <mergeCell ref="BB190:BC190"/>
    <mergeCell ref="AP187:AQ187"/>
    <mergeCell ref="AR202:AT202"/>
    <mergeCell ref="AS205:AT205"/>
    <mergeCell ref="AS206:AT206"/>
    <mergeCell ref="AS207:AT207"/>
    <mergeCell ref="AP195:AQ195"/>
    <mergeCell ref="AS195:AT195"/>
    <mergeCell ref="AV195:AW195"/>
    <mergeCell ref="AY195:AZ195"/>
    <mergeCell ref="BB195:BC195"/>
    <mergeCell ref="BB206:BC206"/>
    <mergeCell ref="BB207:BC207"/>
    <mergeCell ref="AU202:AW202"/>
    <mergeCell ref="AV203:AW203"/>
    <mergeCell ref="AV204:AW204"/>
    <mergeCell ref="AV205:AW205"/>
    <mergeCell ref="AV206:AW206"/>
    <mergeCell ref="AV207:AW207"/>
    <mergeCell ref="AS196:AT196"/>
    <mergeCell ref="AV196:AW196"/>
    <mergeCell ref="AP188:AQ188"/>
    <mergeCell ref="AS188:AT188"/>
    <mergeCell ref="AV188:AW188"/>
    <mergeCell ref="AY188:AZ188"/>
    <mergeCell ref="BB188:BC188"/>
    <mergeCell ref="AX202:AZ202"/>
    <mergeCell ref="AY203:AZ203"/>
    <mergeCell ref="AY204:AZ204"/>
    <mergeCell ref="AO178:AQ178"/>
    <mergeCell ref="AR178:AT178"/>
    <mergeCell ref="AU178:AW178"/>
    <mergeCell ref="AX178:AZ178"/>
    <mergeCell ref="BA178:BC178"/>
    <mergeCell ref="AP193:AQ193"/>
    <mergeCell ref="AS193:AT193"/>
    <mergeCell ref="AV193:AW193"/>
    <mergeCell ref="AY193:AZ193"/>
    <mergeCell ref="BB193:BC193"/>
    <mergeCell ref="AP189:AQ189"/>
    <mergeCell ref="AS189:AT189"/>
    <mergeCell ref="AV189:AW189"/>
    <mergeCell ref="AY189:AZ189"/>
    <mergeCell ref="BB189:BC189"/>
    <mergeCell ref="AP190:AQ190"/>
    <mergeCell ref="AP186:AQ186"/>
    <mergeCell ref="AS186:AT186"/>
    <mergeCell ref="AV186:AW186"/>
    <mergeCell ref="AY186:AZ186"/>
    <mergeCell ref="BB186:BC186"/>
    <mergeCell ref="AS187:AT187"/>
    <mergeCell ref="AV187:AW187"/>
    <mergeCell ref="AY187:AZ187"/>
    <mergeCell ref="AP194:AQ194"/>
    <mergeCell ref="AS194:AT194"/>
    <mergeCell ref="AV194:AW194"/>
    <mergeCell ref="AY194:AZ194"/>
    <mergeCell ref="BB194:BC194"/>
    <mergeCell ref="AP191:AQ191"/>
    <mergeCell ref="AS191:AT191"/>
    <mergeCell ref="AV191:AW191"/>
    <mergeCell ref="AY191:AZ191"/>
    <mergeCell ref="BB191:BC191"/>
    <mergeCell ref="AP192:AQ192"/>
    <mergeCell ref="AS192:AT192"/>
    <mergeCell ref="AV192:AW192"/>
    <mergeCell ref="AY192:AZ192"/>
    <mergeCell ref="BB192:BC192"/>
    <mergeCell ref="BB187:BC187"/>
    <mergeCell ref="AP184:AQ184"/>
    <mergeCell ref="AS184:AT184"/>
    <mergeCell ref="AV184:AW184"/>
    <mergeCell ref="AY184:AZ184"/>
    <mergeCell ref="BB184:BC184"/>
    <mergeCell ref="AP185:AQ185"/>
    <mergeCell ref="AS185:AT185"/>
    <mergeCell ref="AV185:AW185"/>
    <mergeCell ref="AY185:AZ185"/>
    <mergeCell ref="BB185:BC185"/>
    <mergeCell ref="AP182:AQ182"/>
    <mergeCell ref="AS182:AT182"/>
    <mergeCell ref="AV182:AW182"/>
    <mergeCell ref="AY182:AZ182"/>
    <mergeCell ref="BB182:BC182"/>
    <mergeCell ref="AP183:AQ183"/>
    <mergeCell ref="AS183:AT183"/>
    <mergeCell ref="AV183:AW183"/>
    <mergeCell ref="AY183:AZ183"/>
    <mergeCell ref="BB183:BC183"/>
    <mergeCell ref="BB179:BC179"/>
    <mergeCell ref="AP180:AQ180"/>
    <mergeCell ref="AS180:AT180"/>
    <mergeCell ref="AV180:AW180"/>
    <mergeCell ref="AY180:AZ180"/>
    <mergeCell ref="BB180:BC180"/>
    <mergeCell ref="AP181:AQ181"/>
    <mergeCell ref="AS181:AT181"/>
    <mergeCell ref="AV181:AW181"/>
    <mergeCell ref="AY181:AZ181"/>
    <mergeCell ref="BB181:BC181"/>
    <mergeCell ref="BB156:BC156"/>
    <mergeCell ref="BB158:BC158"/>
    <mergeCell ref="BB162:BC162"/>
    <mergeCell ref="BB164:BC164"/>
    <mergeCell ref="BB166:BC166"/>
    <mergeCell ref="BB170:BC170"/>
    <mergeCell ref="BB172:BC172"/>
    <mergeCell ref="AY155:AZ155"/>
    <mergeCell ref="AY156:AZ156"/>
    <mergeCell ref="AY158:AZ158"/>
    <mergeCell ref="AY162:AZ162"/>
    <mergeCell ref="AY164:AZ164"/>
    <mergeCell ref="AY165:AZ165"/>
    <mergeCell ref="AY167:AZ167"/>
    <mergeCell ref="AY168:AZ168"/>
    <mergeCell ref="AY169:AZ169"/>
    <mergeCell ref="AY171:AZ171"/>
    <mergeCell ref="AY157:AZ157"/>
    <mergeCell ref="AY159:AZ159"/>
    <mergeCell ref="AY160:AZ160"/>
    <mergeCell ref="AY161:AZ161"/>
    <mergeCell ref="AY163:AZ163"/>
    <mergeCell ref="BB171:BC171"/>
    <mergeCell ref="BB169:BC169"/>
    <mergeCell ref="AS162:AT162"/>
    <mergeCell ref="AS168:AT168"/>
    <mergeCell ref="AS169:AT169"/>
    <mergeCell ref="AS171:AT171"/>
    <mergeCell ref="AV171:AW171"/>
    <mergeCell ref="AV165:AW165"/>
    <mergeCell ref="AV167:AW167"/>
    <mergeCell ref="AV168:AW168"/>
    <mergeCell ref="AV169:AW169"/>
    <mergeCell ref="AV162:AW162"/>
    <mergeCell ref="AV164:AW164"/>
    <mergeCell ref="AP164:AQ164"/>
    <mergeCell ref="AS164:AT164"/>
    <mergeCell ref="AS166:AT166"/>
    <mergeCell ref="AS172:AT172"/>
    <mergeCell ref="AS170:AT170"/>
    <mergeCell ref="AV172:AW172"/>
    <mergeCell ref="AV170:AW170"/>
    <mergeCell ref="AV166:AW166"/>
    <mergeCell ref="AS163:AT163"/>
    <mergeCell ref="AS165:AT165"/>
    <mergeCell ref="AS167:AT167"/>
    <mergeCell ref="AS160:AT160"/>
    <mergeCell ref="AP172:AQ172"/>
    <mergeCell ref="AO154:AQ154"/>
    <mergeCell ref="AR154:AT154"/>
    <mergeCell ref="AP160:AQ160"/>
    <mergeCell ref="AP161:AQ161"/>
    <mergeCell ref="AP163:AQ163"/>
    <mergeCell ref="AP165:AQ165"/>
    <mergeCell ref="AP167:AQ167"/>
    <mergeCell ref="AP168:AQ168"/>
    <mergeCell ref="AP169:AQ169"/>
    <mergeCell ref="AP171:AQ171"/>
    <mergeCell ref="AS157:AT157"/>
    <mergeCell ref="AS159:AT159"/>
    <mergeCell ref="AP155:AQ155"/>
    <mergeCell ref="AP156:AQ156"/>
    <mergeCell ref="AP158:AQ158"/>
    <mergeCell ref="AP170:AQ170"/>
    <mergeCell ref="AS155:AT155"/>
    <mergeCell ref="AS156:AT156"/>
    <mergeCell ref="AS158:AT158"/>
    <mergeCell ref="AS161:AT161"/>
    <mergeCell ref="AP166:AQ166"/>
    <mergeCell ref="AP162:AQ162"/>
    <mergeCell ref="BB165:BC165"/>
    <mergeCell ref="BB167:BC167"/>
    <mergeCell ref="BB168:BC168"/>
    <mergeCell ref="BA130:BC130"/>
    <mergeCell ref="AX130:AZ130"/>
    <mergeCell ref="AU130:AW130"/>
    <mergeCell ref="AR130:AT130"/>
    <mergeCell ref="AO130:AQ130"/>
    <mergeCell ref="AV156:AW156"/>
    <mergeCell ref="AV157:AW157"/>
    <mergeCell ref="AV159:AW159"/>
    <mergeCell ref="AV160:AW160"/>
    <mergeCell ref="AV161:AW161"/>
    <mergeCell ref="AV158:AW158"/>
    <mergeCell ref="BA154:BC154"/>
    <mergeCell ref="AV155:AW155"/>
    <mergeCell ref="BB161:BC161"/>
    <mergeCell ref="BB163:BC163"/>
    <mergeCell ref="AV163:AW163"/>
    <mergeCell ref="AU154:AW154"/>
    <mergeCell ref="AX154:AZ154"/>
    <mergeCell ref="AP157:AQ157"/>
    <mergeCell ref="AP159:AQ159"/>
    <mergeCell ref="BB155:BC155"/>
    <mergeCell ref="BB157:BC157"/>
    <mergeCell ref="BB159:BC159"/>
    <mergeCell ref="BB160:BC160"/>
    <mergeCell ref="AY166:AZ166"/>
    <mergeCell ref="A1:F1"/>
    <mergeCell ref="J1:N1"/>
    <mergeCell ref="R1:AG1"/>
    <mergeCell ref="R3:AG3"/>
    <mergeCell ref="R85:AG85"/>
    <mergeCell ref="AN1:BE1"/>
    <mergeCell ref="Y112:AB112"/>
    <mergeCell ref="AA113:AB113"/>
    <mergeCell ref="Y114:Y120"/>
    <mergeCell ref="AA114:AB114"/>
    <mergeCell ref="AA115:AB115"/>
    <mergeCell ref="AA116:AB116"/>
    <mergeCell ref="AA117:AB117"/>
    <mergeCell ref="AA118:AB118"/>
    <mergeCell ref="AA119:AB119"/>
    <mergeCell ref="AA120:AB120"/>
    <mergeCell ref="AU92:AV92"/>
    <mergeCell ref="AU14:AU15"/>
    <mergeCell ref="AV14:AV15"/>
    <mergeCell ref="AW14:AW15"/>
    <mergeCell ref="AX14:AX15"/>
    <mergeCell ref="AY14:AY15"/>
    <mergeCell ref="AZ14:AZ15"/>
    <mergeCell ref="BA14:BA15"/>
    <mergeCell ref="R223:AG223"/>
    <mergeCell ref="R261:AG261"/>
    <mergeCell ref="R99:R100"/>
    <mergeCell ref="Z87:Z88"/>
    <mergeCell ref="AA87:AA88"/>
    <mergeCell ref="AB87:AB88"/>
    <mergeCell ref="S99:S100"/>
    <mergeCell ref="T99:T100"/>
    <mergeCell ref="U99:U100"/>
    <mergeCell ref="V99:V100"/>
    <mergeCell ref="W99:W100"/>
    <mergeCell ref="Y123:AB123"/>
    <mergeCell ref="V230:AA230"/>
    <mergeCell ref="X231:AA231"/>
    <mergeCell ref="AY170:AZ170"/>
    <mergeCell ref="AY172:AZ172"/>
    <mergeCell ref="AP179:AQ179"/>
    <mergeCell ref="AS179:AT179"/>
    <mergeCell ref="AV179:AW179"/>
    <mergeCell ref="AY179:AZ179"/>
  </mergeCells>
  <phoneticPr fontId="137" type="noConversion"/>
  <pageMargins left="0.7" right="0.7" top="0.75" bottom="0.75" header="0.3" footer="0.3"/>
  <pageSetup orientation="portrait" horizontalDpi="300" verticalDpi="300" r:id="rId1"/>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F4F42-13D5-46AF-AC8C-F52267AC7213}">
  <sheetPr codeName="Sheet4">
    <tabColor rgb="FFFF0000"/>
  </sheetPr>
  <dimension ref="A1:AT34"/>
  <sheetViews>
    <sheetView topLeftCell="A4" workbookViewId="0">
      <selection activeCell="C31" sqref="C31"/>
    </sheetView>
  </sheetViews>
  <sheetFormatPr defaultRowHeight="14.5"/>
  <cols>
    <col min="1" max="1" width="28.1796875" bestFit="1" customWidth="1"/>
    <col min="2" max="2" width="8.7265625" bestFit="1" customWidth="1"/>
    <col min="3" max="3" width="12.81640625" bestFit="1" customWidth="1"/>
    <col min="4" max="4" width="9.453125" bestFit="1" customWidth="1"/>
    <col min="5" max="5" width="28.1796875" bestFit="1" customWidth="1"/>
    <col min="6" max="6" width="8.7265625" bestFit="1" customWidth="1"/>
    <col min="7" max="7" width="12.81640625" bestFit="1" customWidth="1"/>
    <col min="9" max="9" width="28.1796875" bestFit="1" customWidth="1"/>
    <col min="10" max="10" width="8.7265625" bestFit="1" customWidth="1"/>
    <col min="11" max="11" width="12.81640625" bestFit="1" customWidth="1"/>
    <col min="14" max="14" width="28.1796875" bestFit="1" customWidth="1"/>
    <col min="15" max="15" width="8.7265625" bestFit="1" customWidth="1"/>
    <col min="16" max="16" width="12.81640625" bestFit="1" customWidth="1"/>
    <col min="19" max="19" width="28.1796875" bestFit="1" customWidth="1"/>
    <col min="20" max="20" width="8.7265625" bestFit="1" customWidth="1"/>
    <col min="21" max="21" width="12.81640625" bestFit="1" customWidth="1"/>
    <col min="24" max="24" width="28.1796875" bestFit="1" customWidth="1"/>
    <col min="25" max="25" width="8.7265625" bestFit="1" customWidth="1"/>
    <col min="26" max="26" width="12.81640625" bestFit="1" customWidth="1"/>
    <col min="29" max="29" width="28.1796875" bestFit="1" customWidth="1"/>
    <col min="30" max="30" width="8.7265625" bestFit="1" customWidth="1"/>
    <col min="31" max="31" width="12.81640625" bestFit="1" customWidth="1"/>
    <col min="34" max="34" width="28.1796875" bestFit="1" customWidth="1"/>
    <col min="35" max="35" width="8.7265625" bestFit="1" customWidth="1"/>
    <col min="36" max="36" width="12.81640625" bestFit="1" customWidth="1"/>
    <col min="39" max="39" width="28.1796875" bestFit="1" customWidth="1"/>
    <col min="40" max="40" width="8.7265625" bestFit="1" customWidth="1"/>
    <col min="41" max="41" width="12.81640625" bestFit="1" customWidth="1"/>
    <col min="44" max="44" width="28.1796875" bestFit="1" customWidth="1"/>
    <col min="45" max="45" width="8.7265625" bestFit="1" customWidth="1"/>
    <col min="46" max="46" width="12.81640625" bestFit="1" customWidth="1"/>
  </cols>
  <sheetData>
    <row r="1" spans="1:46">
      <c r="A1" s="235" t="s">
        <v>831</v>
      </c>
      <c r="H1" s="26"/>
      <c r="I1" s="26"/>
      <c r="J1" s="26"/>
      <c r="K1" s="26"/>
      <c r="L1" s="26"/>
      <c r="M1" s="26"/>
      <c r="N1" s="26"/>
      <c r="O1" s="26"/>
      <c r="P1" s="26"/>
      <c r="S1" s="121"/>
    </row>
    <row r="2" spans="1:46">
      <c r="I2" s="1334"/>
      <c r="J2" s="1334"/>
      <c r="K2" s="1334"/>
      <c r="L2" s="1334"/>
      <c r="M2" s="1334"/>
      <c r="N2" s="1334"/>
      <c r="O2" s="1334"/>
      <c r="P2" s="1334"/>
      <c r="S2" s="121"/>
    </row>
    <row r="3" spans="1:46">
      <c r="A3" s="127" t="s">
        <v>323</v>
      </c>
      <c r="B3" s="127" t="s">
        <v>318</v>
      </c>
      <c r="C3" s="127" t="s">
        <v>344</v>
      </c>
      <c r="E3" s="127" t="s">
        <v>349</v>
      </c>
      <c r="F3" s="127" t="s">
        <v>318</v>
      </c>
      <c r="G3" s="127" t="s">
        <v>344</v>
      </c>
      <c r="I3" s="127" t="s">
        <v>350</v>
      </c>
      <c r="J3" s="127" t="s">
        <v>318</v>
      </c>
      <c r="K3" s="127" t="s">
        <v>344</v>
      </c>
      <c r="N3" s="127" t="s">
        <v>355</v>
      </c>
      <c r="O3" s="127" t="s">
        <v>318</v>
      </c>
      <c r="P3" s="127" t="s">
        <v>344</v>
      </c>
      <c r="S3" s="127" t="s">
        <v>356</v>
      </c>
      <c r="T3" s="127" t="s">
        <v>318</v>
      </c>
      <c r="U3" s="127" t="s">
        <v>344</v>
      </c>
      <c r="X3" s="127" t="s">
        <v>357</v>
      </c>
      <c r="Y3" s="127" t="s">
        <v>318</v>
      </c>
      <c r="Z3" s="127" t="s">
        <v>344</v>
      </c>
      <c r="AC3" s="127" t="s">
        <v>358</v>
      </c>
      <c r="AD3" s="127" t="s">
        <v>318</v>
      </c>
      <c r="AE3" s="127" t="s">
        <v>344</v>
      </c>
      <c r="AH3" s="127" t="s">
        <v>359</v>
      </c>
      <c r="AI3" s="127" t="s">
        <v>318</v>
      </c>
      <c r="AJ3" s="127" t="s">
        <v>344</v>
      </c>
      <c r="AM3" s="127" t="s">
        <v>360</v>
      </c>
      <c r="AN3" s="127" t="s">
        <v>318</v>
      </c>
      <c r="AO3" s="127" t="s">
        <v>344</v>
      </c>
      <c r="AR3" s="127" t="s">
        <v>361</v>
      </c>
      <c r="AS3" s="127" t="s">
        <v>318</v>
      </c>
      <c r="AT3" s="127" t="s">
        <v>344</v>
      </c>
    </row>
    <row r="4" spans="1:46">
      <c r="A4" s="2" t="s">
        <v>319</v>
      </c>
      <c r="B4" s="2" t="s">
        <v>347</v>
      </c>
      <c r="C4" s="2" t="str">
        <f>IF(AND('AIRFLOW FORM'!$E$16&gt;=0.5,'AIRFLOW FORM'!$E$16&lt;=11.3),"","FAIL")</f>
        <v>FAIL</v>
      </c>
      <c r="E4" s="2" t="s">
        <v>319</v>
      </c>
      <c r="F4" s="2" t="s">
        <v>347</v>
      </c>
      <c r="G4" s="2" t="str">
        <f>IF(AND('AIRFLOW FORM 2'!$E$15&gt;=0.5,'AIRFLOW FORM 2'!$E$15&lt;=11.3),"","FAIL")</f>
        <v>FAIL</v>
      </c>
      <c r="I4" s="2" t="s">
        <v>319</v>
      </c>
      <c r="J4" s="2" t="s">
        <v>347</v>
      </c>
      <c r="K4" s="2" t="str">
        <f>IF(AND('AIRFLOW FORM 3'!$E$15&gt;=0.5,'AIRFLOW FORM 3'!$E$15&lt;=11.3),"","FAIL")</f>
        <v>FAIL</v>
      </c>
      <c r="N4" s="2" t="s">
        <v>319</v>
      </c>
      <c r="O4" s="2" t="s">
        <v>347</v>
      </c>
      <c r="P4" s="2" t="str">
        <f>IF(AND('AIRFLOW FORM 4'!$E$15&gt;=0.5,'AIRFLOW FORM 4'!$E$15&lt;=11.3),"","FAIL")</f>
        <v>FAIL</v>
      </c>
      <c r="S4" s="2" t="s">
        <v>319</v>
      </c>
      <c r="T4" s="2" t="s">
        <v>347</v>
      </c>
      <c r="U4" s="2" t="str">
        <f>IF(AND('AIRFLOW FORM 5'!$E$15&gt;=0.5,'AIRFLOW FORM 5'!$E$15&lt;=11.3),"","FAIL")</f>
        <v>FAIL</v>
      </c>
      <c r="X4" s="2" t="s">
        <v>319</v>
      </c>
      <c r="Y4" s="2" t="s">
        <v>347</v>
      </c>
      <c r="Z4" s="2" t="str">
        <f>IF(AND('AIRFLOW FORM 6'!$E$15&gt;=0.5,'AIRFLOW FORM 6'!$E$15&lt;=11.3),"","FAIL")</f>
        <v>FAIL</v>
      </c>
      <c r="AC4" s="2" t="s">
        <v>319</v>
      </c>
      <c r="AD4" s="2" t="s">
        <v>347</v>
      </c>
      <c r="AE4" s="2" t="str">
        <f>IF(AND('AIRFLOW FORM 7'!$E$15&gt;=0.5,'AIRFLOW FORM 7'!$E$15&lt;=11.3),"","FAIL")</f>
        <v>FAIL</v>
      </c>
      <c r="AH4" s="2" t="s">
        <v>319</v>
      </c>
      <c r="AI4" s="2" t="s">
        <v>347</v>
      </c>
      <c r="AJ4" s="2" t="str">
        <f>IF(AND('AIRFLOW FORM 8'!$E$15&gt;=0.5,'AIRFLOW FORM 8'!$E$15&lt;=11.3),"","FAIL")</f>
        <v>FAIL</v>
      </c>
      <c r="AM4" s="2" t="s">
        <v>319</v>
      </c>
      <c r="AN4" s="2" t="s">
        <v>347</v>
      </c>
      <c r="AO4" s="2" t="str">
        <f>IF(AND('AIRFLOW FORM 9'!$E$15&gt;=0.5,'AIRFLOW FORM 9'!$E$15&lt;=11.3),"","FAIL")</f>
        <v>FAIL</v>
      </c>
      <c r="AR4" s="2" t="s">
        <v>319</v>
      </c>
      <c r="AS4" s="2" t="s">
        <v>347</v>
      </c>
      <c r="AT4" s="2" t="str">
        <f>IF(AND('AIRFLOW FORM 10'!$E$15&gt;=0.5,'AIRFLOW FORM 10'!$E$15&lt;=11.3),"","FAIL")</f>
        <v>FAIL</v>
      </c>
    </row>
    <row r="5" spans="1:46">
      <c r="A5" s="2" t="s">
        <v>287</v>
      </c>
      <c r="B5" s="2" t="s">
        <v>320</v>
      </c>
      <c r="C5" s="2" t="str">
        <f>IF(AND('AIRFLOW FORM'!$E$19&gt;=0.1,'AIRFLOW FORM'!$E$19&lt;=0.8),"","FAIL")</f>
        <v>FAIL</v>
      </c>
      <c r="E5" s="2" t="s">
        <v>287</v>
      </c>
      <c r="F5" s="2" t="s">
        <v>320</v>
      </c>
      <c r="G5" s="2" t="str">
        <f>IF(AND('AIRFLOW FORM 2'!$E$18&gt;=0.1,'AIRFLOW FORM 2'!$E$18&lt;=0.8),"","FAIL")</f>
        <v>FAIL</v>
      </c>
      <c r="I5" s="2" t="s">
        <v>287</v>
      </c>
      <c r="J5" s="2" t="s">
        <v>320</v>
      </c>
      <c r="K5" s="2" t="str">
        <f>IF(AND('AIRFLOW FORM 3'!$E$18&gt;=0.1,'AIRFLOW FORM 3'!$E$18&lt;=0.8),"","FAIL")</f>
        <v>FAIL</v>
      </c>
      <c r="N5" s="2" t="s">
        <v>287</v>
      </c>
      <c r="O5" s="2" t="s">
        <v>320</v>
      </c>
      <c r="P5" s="2" t="str">
        <f>IF(AND('AIRFLOW FORM 4'!$E$18&gt;=0.1,'AIRFLOW FORM 4'!$E$18&lt;=0.8),"","FAIL")</f>
        <v>FAIL</v>
      </c>
      <c r="S5" s="2" t="s">
        <v>287</v>
      </c>
      <c r="T5" s="2" t="s">
        <v>320</v>
      </c>
      <c r="U5" s="2" t="str">
        <f>IF(AND('AIRFLOW FORM 5'!$E$18&gt;=0.1,'AIRFLOW FORM 5'!$E$18&lt;=0.8),"","FAIL")</f>
        <v>FAIL</v>
      </c>
      <c r="X5" s="2" t="s">
        <v>287</v>
      </c>
      <c r="Y5" s="2" t="s">
        <v>320</v>
      </c>
      <c r="Z5" s="2" t="str">
        <f>IF(AND('AIRFLOW FORM 6'!$E$18&gt;=0.1,'AIRFLOW FORM 6'!$E$18&lt;=0.8),"","FAIL")</f>
        <v>FAIL</v>
      </c>
      <c r="AC5" s="2" t="s">
        <v>287</v>
      </c>
      <c r="AD5" s="2" t="s">
        <v>320</v>
      </c>
      <c r="AE5" s="2" t="str">
        <f>IF(AND('AIRFLOW FORM 7'!$E$18&gt;=0.1,'AIRFLOW FORM 7'!$E$18&lt;=0.8),"","FAIL")</f>
        <v>FAIL</v>
      </c>
      <c r="AH5" s="2" t="s">
        <v>287</v>
      </c>
      <c r="AI5" s="2" t="s">
        <v>320</v>
      </c>
      <c r="AJ5" s="2" t="str">
        <f>IF(AND('AIRFLOW FORM 8'!$E$18&gt;=0.1,'AIRFLOW FORM 8'!$E$18&lt;=0.8),"","FAIL")</f>
        <v>FAIL</v>
      </c>
      <c r="AM5" s="2" t="s">
        <v>287</v>
      </c>
      <c r="AN5" s="2" t="s">
        <v>320</v>
      </c>
      <c r="AO5" s="2" t="str">
        <f>IF(AND('AIRFLOW FORM 9'!$E$18&gt;=0.1,'AIRFLOW FORM 9'!$E$18&lt;=0.8),"","FAIL")</f>
        <v>FAIL</v>
      </c>
      <c r="AR5" s="2" t="s">
        <v>287</v>
      </c>
      <c r="AS5" s="2" t="s">
        <v>320</v>
      </c>
      <c r="AT5" s="2" t="str">
        <f>IF(AND('AIRFLOW FORM 10'!$E$18&gt;=0.1,'AIRFLOW FORM 10'!$E$18&lt;=0.8),"","FAIL")</f>
        <v>FAIL</v>
      </c>
    </row>
    <row r="6" spans="1:46">
      <c r="A6" s="2" t="s">
        <v>321</v>
      </c>
      <c r="B6" s="2" t="s">
        <v>322</v>
      </c>
      <c r="C6" s="2" t="str">
        <f>IF(AND('AIRFLOW FORM'!$M$16&gt;=325,'AIRFLOW FORM'!$M$16&lt;=450),"","FAIL")</f>
        <v>FAIL</v>
      </c>
      <c r="E6" s="2" t="s">
        <v>321</v>
      </c>
      <c r="F6" s="2" t="s">
        <v>322</v>
      </c>
      <c r="G6" s="2" t="str">
        <f>IF(AND('AIRFLOW FORM 2'!$M$15&gt;=325,'AIRFLOW FORM 2'!$M$15&lt;=450),"","FAIL")</f>
        <v>FAIL</v>
      </c>
      <c r="I6" s="2" t="s">
        <v>321</v>
      </c>
      <c r="J6" s="2" t="s">
        <v>322</v>
      </c>
      <c r="K6" s="2" t="str">
        <f>IF(AND('AIRFLOW FORM 3'!$M$15&gt;=325,'AIRFLOW FORM 3'!$M$15&lt;=450),"","FAIL")</f>
        <v>FAIL</v>
      </c>
      <c r="N6" s="2" t="s">
        <v>321</v>
      </c>
      <c r="O6" s="2" t="s">
        <v>322</v>
      </c>
      <c r="P6" s="2" t="str">
        <f>IF(AND('AIRFLOW FORM 4'!$M$15&gt;=325,'AIRFLOW FORM 4'!$M$15&lt;=450),"","FAIL")</f>
        <v>FAIL</v>
      </c>
      <c r="S6" s="2" t="s">
        <v>321</v>
      </c>
      <c r="T6" s="2" t="s">
        <v>322</v>
      </c>
      <c r="U6" s="2" t="str">
        <f>IF(AND('AIRFLOW FORM 5'!$M$15&gt;=325,'AIRFLOW FORM 5'!$M$15&lt;=450),"","FAIL")</f>
        <v>FAIL</v>
      </c>
      <c r="X6" s="2" t="s">
        <v>321</v>
      </c>
      <c r="Y6" s="2" t="s">
        <v>322</v>
      </c>
      <c r="Z6" s="2" t="str">
        <f>IF(AND('AIRFLOW FORM 6'!$M$15&gt;=325,'AIRFLOW FORM 6'!$M$15&lt;=450),"","FAIL")</f>
        <v>FAIL</v>
      </c>
      <c r="AC6" s="2" t="s">
        <v>321</v>
      </c>
      <c r="AD6" s="2" t="s">
        <v>322</v>
      </c>
      <c r="AE6" s="2" t="str">
        <f>IF(AND('AIRFLOW FORM 7'!$M$15&gt;=325,'AIRFLOW FORM 7'!$M$15&lt;=450),"","FAIL")</f>
        <v>FAIL</v>
      </c>
      <c r="AH6" s="2" t="s">
        <v>321</v>
      </c>
      <c r="AI6" s="2" t="s">
        <v>322</v>
      </c>
      <c r="AJ6" s="2" t="str">
        <f>IF(AND('AIRFLOW FORM 8'!$M$15&gt;=325,'AIRFLOW FORM 8'!$M$15&lt;=450),"","FAIL")</f>
        <v>FAIL</v>
      </c>
      <c r="AM6" s="2" t="s">
        <v>321</v>
      </c>
      <c r="AN6" s="2" t="s">
        <v>322</v>
      </c>
      <c r="AO6" s="2" t="str">
        <f>IF(AND('AIRFLOW FORM 9'!$M$15&gt;=325,'AIRFLOW FORM 9'!$M$15&lt;=450),"","FAIL")</f>
        <v>FAIL</v>
      </c>
      <c r="AR6" s="2" t="s">
        <v>321</v>
      </c>
      <c r="AS6" s="2" t="s">
        <v>322</v>
      </c>
      <c r="AT6" s="2" t="str">
        <f>IF(AND('AIRFLOW FORM 10'!$M$15&gt;=325,'AIRFLOW FORM 10'!$M$15&lt;=450),"","FAIL")</f>
        <v>FAIL</v>
      </c>
    </row>
    <row r="7" spans="1:46">
      <c r="A7" s="2" t="s">
        <v>288</v>
      </c>
      <c r="B7" s="2" t="s">
        <v>320</v>
      </c>
      <c r="C7" s="2" t="str">
        <f>IF(AND('AIRFLOW FORM'!$M$19&gt;=0.1,'AIRFLOW FORM'!$M$19&lt;=0.8),"","FAIL")</f>
        <v>FAIL</v>
      </c>
      <c r="E7" s="2" t="s">
        <v>288</v>
      </c>
      <c r="F7" s="2" t="s">
        <v>320</v>
      </c>
      <c r="G7" s="2" t="str">
        <f>IF(AND('AIRFLOW FORM 2'!$M$18&gt;=0.1,'AIRFLOW FORM 2'!$M$18&lt;=0.8),"","FAIL")</f>
        <v>FAIL</v>
      </c>
      <c r="I7" s="2" t="s">
        <v>288</v>
      </c>
      <c r="J7" s="2" t="s">
        <v>320</v>
      </c>
      <c r="K7" s="2" t="str">
        <f>IF(AND('AIRFLOW FORM 3'!$M$18&gt;=0.1,'AIRFLOW FORM 3'!$M$18&lt;=0.8),"","FAIL")</f>
        <v>FAIL</v>
      </c>
      <c r="N7" s="2" t="s">
        <v>288</v>
      </c>
      <c r="O7" s="2" t="s">
        <v>320</v>
      </c>
      <c r="P7" s="2" t="str">
        <f>IF(AND('AIRFLOW FORM 4'!$M$18&gt;=0.1,'AIRFLOW FORM 4'!$M$18&lt;=0.8),"","FAIL")</f>
        <v>FAIL</v>
      </c>
      <c r="S7" s="2" t="s">
        <v>288</v>
      </c>
      <c r="T7" s="2" t="s">
        <v>320</v>
      </c>
      <c r="U7" s="2" t="str">
        <f>IF(AND('AIRFLOW FORM 5'!$M$18&gt;=0.1,'AIRFLOW FORM 5'!$M$18&lt;=0.8),"","FAIL")</f>
        <v>FAIL</v>
      </c>
      <c r="X7" s="2" t="s">
        <v>288</v>
      </c>
      <c r="Y7" s="2" t="s">
        <v>320</v>
      </c>
      <c r="Z7" s="2" t="str">
        <f>IF(AND('AIRFLOW FORM 6'!$M$18&gt;=0.1,'AIRFLOW FORM 6'!$M$18&lt;=0.8),"","FAIL")</f>
        <v>FAIL</v>
      </c>
      <c r="AC7" s="2" t="s">
        <v>288</v>
      </c>
      <c r="AD7" s="2" t="s">
        <v>320</v>
      </c>
      <c r="AE7" s="2" t="str">
        <f>IF(AND('AIRFLOW FORM 7'!$M$18&gt;=0.1,'AIRFLOW FORM 7'!$M$18&lt;=0.8),"","FAIL")</f>
        <v>FAIL</v>
      </c>
      <c r="AH7" s="2" t="s">
        <v>288</v>
      </c>
      <c r="AI7" s="2" t="s">
        <v>320</v>
      </c>
      <c r="AJ7" s="2" t="str">
        <f>IF(AND('AIRFLOW FORM 8'!$M$18&gt;=0.1,'AIRFLOW FORM 8'!$M$18&lt;=0.8),"","FAIL")</f>
        <v>FAIL</v>
      </c>
      <c r="AM7" s="2" t="s">
        <v>288</v>
      </c>
      <c r="AN7" s="2" t="s">
        <v>320</v>
      </c>
      <c r="AO7" s="2" t="str">
        <f>IF(AND('AIRFLOW FORM 9'!$M$18&gt;=0.1,'AIRFLOW FORM 9'!$M$18&lt;=0.8),"","FAIL")</f>
        <v>FAIL</v>
      </c>
      <c r="AR7" s="2" t="s">
        <v>288</v>
      </c>
      <c r="AS7" s="2" t="s">
        <v>320</v>
      </c>
      <c r="AT7" s="2" t="str">
        <f>IF(AND('AIRFLOW FORM 10'!$M$18&gt;=0.1,'AIRFLOW FORM 10'!$M$18&lt;=0.8),"","FAIL")</f>
        <v>FAIL</v>
      </c>
    </row>
    <row r="8" spans="1:46">
      <c r="A8" s="2" t="s">
        <v>285</v>
      </c>
      <c r="B8" s="2" t="s">
        <v>1485</v>
      </c>
      <c r="C8" s="2" t="str">
        <f>IF(AND('AIRFLOW FORM'!$E$26&gt;=('AIRFLOW FORM'!E16*'AIRFLOW FORM'!M16*0.85),'AIRFLOW FORM'!$E$26&lt;=('AIRFLOW FORM'!E16*'AIRFLOW FORM'!M16*1.15)),"","FAIL")</f>
        <v/>
      </c>
      <c r="E8" s="2" t="s">
        <v>285</v>
      </c>
      <c r="F8" s="2" t="s">
        <v>1485</v>
      </c>
      <c r="G8" s="2" t="str">
        <f>IF(AND('AIRFLOW FORM 2'!$E$25&gt;=('AIRFLOW FORM 2'!E15*'AIRFLOW FORM 2'!M15*0.85),'AIRFLOW FORM 2'!$E$25&lt;=('AIRFLOW FORM 2'!E15*'AIRFLOW FORM 2'!M15*1.15)),"","FAIL")</f>
        <v/>
      </c>
      <c r="I8" s="2" t="s">
        <v>285</v>
      </c>
      <c r="J8" s="2" t="s">
        <v>1485</v>
      </c>
      <c r="K8" s="2" t="str">
        <f>IF(AND('AIRFLOW FORM 3'!$E$25&gt;=('AIRFLOW FORM 3'!E15*'AIRFLOW FORM 3'!M15*0.85),'AIRFLOW FORM 3'!$E$25&lt;=('AIRFLOW FORM 3'!E15*'AIRFLOW FORM 3'!M15*1.15)),"","FAIL")</f>
        <v/>
      </c>
      <c r="N8" s="2" t="s">
        <v>285</v>
      </c>
      <c r="O8" s="2" t="s">
        <v>1485</v>
      </c>
      <c r="P8" s="2" t="str">
        <f>IF(AND('AIRFLOW FORM 4'!$E$25&gt;=('AIRFLOW FORM 4'!$E$15*'AIRFLOW FORM 4'!$M$15*0.85),'AIRFLOW FORM 4'!$E$25&lt;=('AIRFLOW FORM 4'!$E$15*'AIRFLOW FORM 4'!$M$15*1.15)),"","FAIL")</f>
        <v/>
      </c>
      <c r="S8" s="2" t="s">
        <v>285</v>
      </c>
      <c r="T8" s="2" t="s">
        <v>1485</v>
      </c>
      <c r="U8" s="2" t="str">
        <f>IF(AND('AIRFLOW FORM 5'!$E$25&gt;=('AIRFLOW FORM 5'!$E$15*'AIRFLOW FORM 5'!$M$15*0.85),'AIRFLOW FORM 5'!$E$25&lt;=('AIRFLOW FORM 5'!$E$15*'AIRFLOW FORM 5'!$M$15*1.15)),"","FAIL")</f>
        <v/>
      </c>
      <c r="X8" s="2" t="s">
        <v>285</v>
      </c>
      <c r="Y8" s="93" t="s">
        <v>1485</v>
      </c>
      <c r="Z8" s="2" t="str">
        <f>IF(AND('AIRFLOW FORM 6'!$E$25&gt;=('AIRFLOW FORM 6'!$E$15*'AIRFLOW FORM 6'!$M$15*0.85),'AIRFLOW FORM 6'!$E$25&lt;=('AIRFLOW FORM 6'!$E$15*'AIRFLOW FORM 6'!$M$15*1.15)),"","FAIL")</f>
        <v/>
      </c>
      <c r="AC8" s="2" t="s">
        <v>285</v>
      </c>
      <c r="AD8" s="2" t="s">
        <v>1485</v>
      </c>
      <c r="AE8" s="2" t="str">
        <f>IF(AND('AIRFLOW FORM 7'!$E$25&gt;=('AIRFLOW FORM 7'!$E$15*'AIRFLOW FORM 7'!$M$15*0.85),'AIRFLOW FORM 7'!$E$25&lt;=('AIRFLOW FORM 7'!$E$15*'AIRFLOW FORM 7'!$M$15*1.15)),"","FAIL")</f>
        <v/>
      </c>
      <c r="AH8" s="2" t="s">
        <v>285</v>
      </c>
      <c r="AI8" s="2" t="s">
        <v>1485</v>
      </c>
      <c r="AJ8" s="2" t="str">
        <f>IF(AND('AIRFLOW FORM 8'!$E$25&gt;=('AIRFLOW FORM 8'!$E$15*'AIRFLOW FORM 8'!$M$15*0.85),'AIRFLOW FORM 8'!$E$25&lt;=('AIRFLOW FORM 8'!$E$15*'AIRFLOW FORM 8'!$M$15*1.15)),"","FAIL")</f>
        <v/>
      </c>
      <c r="AM8" s="2" t="s">
        <v>285</v>
      </c>
      <c r="AN8" s="2" t="s">
        <v>1485</v>
      </c>
      <c r="AO8" s="2" t="str">
        <f>IF(AND('AIRFLOW FORM 9'!$E$25&gt;=('AIRFLOW FORM 9'!$E$15*'AIRFLOW FORM 9'!$M$15*0.85),'AIRFLOW FORM 9'!$E$25&lt;=('AIRFLOW FORM 9'!$E$15*'AIRFLOW FORM 9'!$M$15*1.15)),"","FAIL")</f>
        <v/>
      </c>
      <c r="AR8" s="2" t="s">
        <v>285</v>
      </c>
      <c r="AS8" s="2" t="s">
        <v>1485</v>
      </c>
      <c r="AT8" s="2" t="str">
        <f>IF(AND('AIRFLOW FORM 10'!$E$25&gt;=('AIRFLOW FORM 10'!$E$15*'AIRFLOW FORM 10'!$M$15*0.85),'AIRFLOW FORM 10'!$E$25&lt;=('AIRFLOW FORM 10'!$E$15*'AIRFLOW FORM 10'!$M$15*1.15)),"","FAIL")</f>
        <v/>
      </c>
    </row>
    <row r="9" spans="1:46">
      <c r="A9" s="2" t="s">
        <v>286</v>
      </c>
      <c r="B9" s="2" t="s">
        <v>1486</v>
      </c>
      <c r="C9" s="2" t="str">
        <f>IF(AND('AIRFLOW FORM'!$E$23&gt;=('AIRFLOW FORM'!E16*'AIRFLOW FORM'!M16*0.85),'AIRFLOW FORM'!$E$23&lt;=('AIRFLOW FORM'!E16*'AIRFLOW FORM'!M16*1.15)),"","FAIL")</f>
        <v/>
      </c>
      <c r="E9" s="2" t="s">
        <v>286</v>
      </c>
      <c r="F9" s="2" t="s">
        <v>1486</v>
      </c>
      <c r="G9" s="2" t="str">
        <f>IF(AND('AIRFLOW FORM 2'!$E$22&gt;=('AIRFLOW FORM 2'!E15*'AIRFLOW FORM 2'!M15*0.85),'AIRFLOW FORM 2'!$E$22&lt;=('AIRFLOW FORM 2'!E15*'AIRFLOW FORM 2'!M15*1.15)),"","FAIL")</f>
        <v/>
      </c>
      <c r="I9" s="2" t="s">
        <v>286</v>
      </c>
      <c r="J9" s="2" t="s">
        <v>1486</v>
      </c>
      <c r="K9" s="2" t="str">
        <f>IF(AND('AIRFLOW FORM 3'!$E$22&gt;=('AIRFLOW FORM 3'!E15*'AIRFLOW FORM 3'!M15*0.85),'AIRFLOW FORM 3'!$E$22&lt;=('AIRFLOW FORM 3'!E15*'AIRFLOW FORM 3'!M15*1.15)),"","FAIL")</f>
        <v/>
      </c>
      <c r="N9" s="2" t="s">
        <v>286</v>
      </c>
      <c r="O9" s="2" t="s">
        <v>1486</v>
      </c>
      <c r="P9" s="2" t="str">
        <f>IF(AND('AIRFLOW FORM 4'!$E$22&gt;=('AIRFLOW FORM 4'!E15*'AIRFLOW FORM 4'!M15*0.85),'AIRFLOW FORM 4'!$E$22&lt;=('AIRFLOW FORM 4'!E15*'AIRFLOW FORM 4'!M15*1.15)),"","FAIL")</f>
        <v/>
      </c>
      <c r="S9" s="2" t="s">
        <v>286</v>
      </c>
      <c r="T9" s="2" t="s">
        <v>1486</v>
      </c>
      <c r="U9" s="2" t="str">
        <f>IF(AND('AIRFLOW FORM 5'!$E$22&gt;=('AIRFLOW FORM 5'!E15*'AIRFLOW FORM 5'!M15*0.85),'AIRFLOW FORM 5'!$E$22&lt;=('AIRFLOW FORM 5'!E15*'AIRFLOW FORM 5'!M15*1.15)),"","FAIL")</f>
        <v/>
      </c>
      <c r="X9" s="2" t="s">
        <v>286</v>
      </c>
      <c r="Y9" s="93" t="s">
        <v>1486</v>
      </c>
      <c r="Z9" s="2" t="str">
        <f>IF(AND('AIRFLOW FORM 6'!$E$22&gt;=('AIRFLOW FORM 6'!E15*'AIRFLOW FORM 6'!M15*0.85),'AIRFLOW FORM 6'!$E$22&lt;=('AIRFLOW FORM 6'!E15*'AIRFLOW FORM 6'!M15*1.15)),"","FAIL")</f>
        <v/>
      </c>
      <c r="AC9" s="2" t="s">
        <v>286</v>
      </c>
      <c r="AD9" s="2" t="s">
        <v>1486</v>
      </c>
      <c r="AE9" s="2" t="str">
        <f>IF(AND('AIRFLOW FORM 7'!$E$22&gt;=('AIRFLOW FORM 7'!E15*'AIRFLOW FORM 7'!M15*0.85),'AIRFLOW FORM 7'!$E$22&lt;=('AIRFLOW FORM 7'!E15*'AIRFLOW FORM 7'!M15*1.15)),"","FAIL")</f>
        <v/>
      </c>
      <c r="AH9" s="2" t="s">
        <v>286</v>
      </c>
      <c r="AI9" s="2" t="s">
        <v>1486</v>
      </c>
      <c r="AJ9" s="2" t="str">
        <f>IF(AND('AIRFLOW FORM 8'!$E$22&gt;=('AIRFLOW FORM 8'!E15*'AIRFLOW FORM 8'!M15*0.85),'AIRFLOW FORM 8'!$E$22&lt;=('AIRFLOW FORM 8'!E15*'AIRFLOW FORM 8'!M15*1.15)),"","FAIL")</f>
        <v/>
      </c>
      <c r="AM9" s="2" t="s">
        <v>286</v>
      </c>
      <c r="AN9" s="2" t="s">
        <v>1486</v>
      </c>
      <c r="AO9" s="2" t="str">
        <f>IF(AND('AIRFLOW FORM 9'!$E$22&gt;=('AIRFLOW FORM 9'!E15*'AIRFLOW FORM 9'!M15*0.85),'AIRFLOW FORM 9'!$E$22&lt;=('AIRFLOW FORM 9'!E15*'AIRFLOW FORM 9'!M15*1.15)),"","FAIL")</f>
        <v/>
      </c>
      <c r="AR9" s="2" t="s">
        <v>286</v>
      </c>
      <c r="AS9" s="2" t="s">
        <v>1486</v>
      </c>
      <c r="AT9" s="2" t="str">
        <f>IF(AND('AIRFLOW FORM 10'!$E$22&gt;=('AIRFLOW FORM 10'!E15*'AIRFLOW FORM 10'!M15*0.85),'AIRFLOW FORM 10'!$E$22&lt;=('AIRFLOW FORM 10'!E15*'AIRFLOW FORM 10'!M15*1.15)),"","FAIL")</f>
        <v/>
      </c>
    </row>
    <row r="11" spans="1:46">
      <c r="D11" s="496"/>
    </row>
    <row r="15" spans="1:46" ht="26">
      <c r="A15" s="135" t="s">
        <v>491</v>
      </c>
      <c r="B15" s="127" t="s">
        <v>318</v>
      </c>
      <c r="C15" s="127" t="s">
        <v>344</v>
      </c>
      <c r="E15" s="135" t="s">
        <v>492</v>
      </c>
      <c r="F15" s="127" t="s">
        <v>318</v>
      </c>
      <c r="G15" s="127" t="s">
        <v>344</v>
      </c>
      <c r="H15" s="144"/>
      <c r="I15" s="135" t="s">
        <v>495</v>
      </c>
      <c r="J15" s="127" t="s">
        <v>318</v>
      </c>
      <c r="K15" s="127" t="s">
        <v>344</v>
      </c>
      <c r="N15" s="135" t="s">
        <v>496</v>
      </c>
      <c r="O15" s="127" t="s">
        <v>318</v>
      </c>
      <c r="P15" s="127" t="s">
        <v>344</v>
      </c>
      <c r="S15" s="135" t="s">
        <v>497</v>
      </c>
      <c r="T15" s="127" t="s">
        <v>318</v>
      </c>
      <c r="U15" s="127" t="s">
        <v>344</v>
      </c>
      <c r="X15" s="135" t="s">
        <v>498</v>
      </c>
      <c r="Y15" s="127" t="s">
        <v>318</v>
      </c>
      <c r="Z15" s="127" t="s">
        <v>344</v>
      </c>
      <c r="AC15" s="135" t="s">
        <v>502</v>
      </c>
      <c r="AD15" s="127" t="s">
        <v>318</v>
      </c>
      <c r="AE15" s="127" t="s">
        <v>344</v>
      </c>
      <c r="AH15" s="135" t="s">
        <v>509</v>
      </c>
      <c r="AI15" s="127" t="s">
        <v>318</v>
      </c>
      <c r="AJ15" s="127" t="s">
        <v>344</v>
      </c>
      <c r="AM15" s="135" t="s">
        <v>504</v>
      </c>
      <c r="AN15" s="127" t="s">
        <v>318</v>
      </c>
      <c r="AO15" s="127" t="s">
        <v>344</v>
      </c>
      <c r="AR15" s="135" t="s">
        <v>506</v>
      </c>
      <c r="AS15" s="127" t="s">
        <v>318</v>
      </c>
      <c r="AT15" s="127" t="s">
        <v>344</v>
      </c>
    </row>
    <row r="16" spans="1:46">
      <c r="A16" s="96" t="s">
        <v>289</v>
      </c>
      <c r="B16" s="136" t="s">
        <v>324</v>
      </c>
      <c r="C16" s="96" t="str">
        <f>IF(AND('AIRFLOW FORM'!$E$50&gt;=6,'AIRFLOW FORM'!$E$50&lt;=14),"","FAIL")</f>
        <v>FAIL</v>
      </c>
      <c r="E16" s="2" t="s">
        <v>289</v>
      </c>
      <c r="F16" s="2" t="s">
        <v>324</v>
      </c>
      <c r="G16" s="2" t="str">
        <f>IF(AND('AIRFLOW FORM 2'!$E$49&gt;=6,'AIRFLOW FORM 2'!$E$49&lt;=14),"","FAIL")</f>
        <v>FAIL</v>
      </c>
      <c r="I16" s="2" t="s">
        <v>289</v>
      </c>
      <c r="J16" s="2" t="s">
        <v>324</v>
      </c>
      <c r="K16" s="2" t="str">
        <f>IF(AND('AIRFLOW FORM 3'!$E$49&gt;=6,'AIRFLOW FORM 3'!$E$49&lt;=14),"","FAIL")</f>
        <v>FAIL</v>
      </c>
      <c r="N16" s="2" t="s">
        <v>289</v>
      </c>
      <c r="O16" s="2" t="s">
        <v>324</v>
      </c>
      <c r="P16" s="2" t="str">
        <f>IF(AND('AIRFLOW FORM 4'!$E$49&gt;=6,'AIRFLOW FORM 4'!$E$49&lt;=14),"","FAIL")</f>
        <v>FAIL</v>
      </c>
      <c r="S16" s="2" t="s">
        <v>289</v>
      </c>
      <c r="T16" s="2" t="s">
        <v>324</v>
      </c>
      <c r="U16" s="2" t="str">
        <f>IF(AND('AIRFLOW FORM 5'!$E$49&gt;=6,'AIRFLOW FORM 5'!$E$49&lt;=14),"","FAIL")</f>
        <v>FAIL</v>
      </c>
      <c r="X16" s="2" t="s">
        <v>289</v>
      </c>
      <c r="Y16" s="2" t="s">
        <v>324</v>
      </c>
      <c r="Z16" s="2" t="str">
        <f>IF(AND('AIRFLOW FORM 6'!$E$49&gt;=6,'AIRFLOW FORM 6'!$E$49&lt;=14),"","FAIL")</f>
        <v>FAIL</v>
      </c>
      <c r="AC16" s="2" t="s">
        <v>289</v>
      </c>
      <c r="AD16" s="2" t="s">
        <v>324</v>
      </c>
      <c r="AE16" s="2" t="str">
        <f>IF(AND('AIRFLOW FORM 7'!$E$49&gt;=6,'AIRFLOW FORM 7'!$E$49&lt;=14),"","FAIL")</f>
        <v>FAIL</v>
      </c>
      <c r="AH16" s="2" t="s">
        <v>289</v>
      </c>
      <c r="AI16" s="2" t="s">
        <v>324</v>
      </c>
      <c r="AJ16" s="2" t="str">
        <f>IF(AND('AIRFLOW FORM 8'!$E$49&gt;=6,'AIRFLOW FORM 8'!$E$49&lt;=14),"","FAIL")</f>
        <v>FAIL</v>
      </c>
      <c r="AM16" s="2" t="s">
        <v>289</v>
      </c>
      <c r="AN16" s="2" t="s">
        <v>324</v>
      </c>
      <c r="AO16" s="2" t="str">
        <f>IF(AND('AIRFLOW FORM 9'!$E$49&gt;=6,'AIRFLOW FORM 9'!$E$49&lt;=14),"","FAIL")</f>
        <v>FAIL</v>
      </c>
      <c r="AR16" s="2" t="s">
        <v>289</v>
      </c>
      <c r="AS16" s="2" t="s">
        <v>324</v>
      </c>
      <c r="AT16" s="2" t="str">
        <f>IF(AND('AIRFLOW FORM 10'!$E$49&gt;=6,'AIRFLOW FORM 10'!$E$49&lt;=14),"","FAIL")</f>
        <v>FAIL</v>
      </c>
    </row>
    <row r="17" spans="1:46">
      <c r="A17" s="97" t="s">
        <v>290</v>
      </c>
      <c r="B17" s="93" t="s">
        <v>1491</v>
      </c>
      <c r="C17" s="97" t="str">
        <f>IF(AND('AIRFLOW FORM'!$E$52&gt;=60,'AIRFLOW FORM'!$E$52&lt;=114),"","FAIL")</f>
        <v>FAIL</v>
      </c>
      <c r="E17" s="2" t="s">
        <v>290</v>
      </c>
      <c r="F17" s="93" t="s">
        <v>1491</v>
      </c>
      <c r="G17" s="2" t="str">
        <f>IF(AND('AIRFLOW FORM 2'!$E$51&gt;=60,'AIRFLOW FORM 2'!$E$51&lt;=114),"","FAIL")</f>
        <v>FAIL</v>
      </c>
      <c r="I17" s="2" t="s">
        <v>290</v>
      </c>
      <c r="J17" s="93" t="s">
        <v>1491</v>
      </c>
      <c r="K17" s="2" t="str">
        <f>IF(AND('AIRFLOW FORM 3'!$E$51&gt;=60,'AIRFLOW FORM 3'!$E$51&lt;=114),"","FAIL")</f>
        <v>FAIL</v>
      </c>
      <c r="N17" s="2" t="s">
        <v>290</v>
      </c>
      <c r="O17" s="93" t="s">
        <v>1491</v>
      </c>
      <c r="P17" s="2" t="str">
        <f>IF(AND('AIRFLOW FORM 4'!$E$51&gt;=60,'AIRFLOW FORM 4'!$E$51&lt;=114),"","FAIL")</f>
        <v>FAIL</v>
      </c>
      <c r="S17" s="2" t="s">
        <v>290</v>
      </c>
      <c r="T17" s="93" t="s">
        <v>1491</v>
      </c>
      <c r="U17" s="2" t="str">
        <f>IF(AND('AIRFLOW FORM 5'!$E$51&gt;=60,'AIRFLOW FORM 5'!$E$51&lt;=114),"","FAIL")</f>
        <v>FAIL</v>
      </c>
      <c r="X17" s="2" t="s">
        <v>290</v>
      </c>
      <c r="Y17" s="93" t="s">
        <v>1491</v>
      </c>
      <c r="Z17" s="2" t="str">
        <f>IF(AND('AIRFLOW FORM 6'!$E$51&gt;=60,'AIRFLOW FORM 6'!$E$51&lt;=114),"","FAIL")</f>
        <v>FAIL</v>
      </c>
      <c r="AC17" s="2" t="s">
        <v>290</v>
      </c>
      <c r="AD17" s="93" t="s">
        <v>1491</v>
      </c>
      <c r="AE17" s="2" t="str">
        <f>IF(AND('AIRFLOW FORM 7'!$E$51&gt;=60,'AIRFLOW FORM 7'!$E$51&lt;=114),"","FAIL")</f>
        <v>FAIL</v>
      </c>
      <c r="AH17" s="2" t="s">
        <v>290</v>
      </c>
      <c r="AI17" s="93" t="s">
        <v>1491</v>
      </c>
      <c r="AJ17" s="2" t="str">
        <f>IF(AND('AIRFLOW FORM 8'!$E$51&gt;=60,'AIRFLOW FORM 8'!$E$51&lt;=114),"","FAIL")</f>
        <v>FAIL</v>
      </c>
      <c r="AM17" s="2" t="s">
        <v>290</v>
      </c>
      <c r="AN17" s="93" t="s">
        <v>1491</v>
      </c>
      <c r="AO17" s="2" t="str">
        <f>IF(AND('AIRFLOW FORM 9'!$E$51&gt;=60,'AIRFLOW FORM 9'!$E$51&lt;=114),"","FAIL")</f>
        <v>FAIL</v>
      </c>
      <c r="AR17" s="2" t="s">
        <v>290</v>
      </c>
      <c r="AS17" s="93" t="s">
        <v>1491</v>
      </c>
      <c r="AT17" s="2" t="str">
        <f>IF(AND('AIRFLOW FORM 10'!$E$51&gt;=60,'AIRFLOW FORM 10'!$E$51&lt;=114),"","FAIL")</f>
        <v>FAIL</v>
      </c>
    </row>
    <row r="18" spans="1:46">
      <c r="A18" s="97" t="s">
        <v>88</v>
      </c>
      <c r="B18" s="93" t="s">
        <v>325</v>
      </c>
      <c r="C18" s="97" t="str">
        <f>IF(AND('AIRFLOW FORM'!$E$56&gt;=195,'AIRFLOW FORM'!$E$56&lt;=475),"","FAIL")</f>
        <v>FAIL</v>
      </c>
      <c r="E18" s="2" t="s">
        <v>88</v>
      </c>
      <c r="F18" s="2" t="s">
        <v>325</v>
      </c>
      <c r="G18" s="2" t="str">
        <f>IF(AND('AIRFLOW FORM 2'!$E$55&gt;=195,'AIRFLOW FORM 2'!$E$55&lt;=475),"","FAIL")</f>
        <v>FAIL</v>
      </c>
      <c r="I18" s="2" t="s">
        <v>88</v>
      </c>
      <c r="J18" s="2" t="s">
        <v>325</v>
      </c>
      <c r="K18" s="2" t="str">
        <f>IF(AND('AIRFLOW FORM 3'!$E$55&gt;=195,'AIRFLOW FORM 3'!$E$55&lt;=475),"","FAIL")</f>
        <v>FAIL</v>
      </c>
      <c r="N18" s="2" t="s">
        <v>88</v>
      </c>
      <c r="O18" s="2" t="s">
        <v>325</v>
      </c>
      <c r="P18" s="2" t="str">
        <f>IF(AND('AIRFLOW FORM 4'!$E$55&gt;=195,'AIRFLOW FORM 4'!$E$55&lt;=475),"","FAIL")</f>
        <v>FAIL</v>
      </c>
      <c r="S18" s="2" t="s">
        <v>88</v>
      </c>
      <c r="T18" s="2" t="s">
        <v>325</v>
      </c>
      <c r="U18" s="2" t="str">
        <f>IF(AND('AIRFLOW FORM 5'!$E$55&gt;=195,'AIRFLOW FORM 5'!$E$55&lt;=475),"","FAIL")</f>
        <v>FAIL</v>
      </c>
      <c r="X18" s="2" t="s">
        <v>88</v>
      </c>
      <c r="Y18" s="2" t="s">
        <v>325</v>
      </c>
      <c r="Z18" s="2" t="str">
        <f>IF(AND('AIRFLOW FORM 6'!$E$55&gt;=195,'AIRFLOW FORM 6'!$E$55&lt;=475),"","FAIL")</f>
        <v>FAIL</v>
      </c>
      <c r="AC18" s="2" t="s">
        <v>88</v>
      </c>
      <c r="AD18" s="2" t="s">
        <v>325</v>
      </c>
      <c r="AE18" s="2" t="str">
        <f>IF(AND('AIRFLOW FORM 7'!$E$55&gt;=195,'AIRFLOW FORM 7'!$E$55&lt;=475),"","FAIL")</f>
        <v>FAIL</v>
      </c>
      <c r="AH18" s="2" t="s">
        <v>88</v>
      </c>
      <c r="AI18" s="2" t="s">
        <v>325</v>
      </c>
      <c r="AJ18" s="2" t="str">
        <f>IF(AND('AIRFLOW FORM 8'!$E$55&gt;=195,'AIRFLOW FORM 8'!$E$55&lt;=475),"","FAIL")</f>
        <v>FAIL</v>
      </c>
      <c r="AM18" s="2" t="s">
        <v>88</v>
      </c>
      <c r="AN18" s="2" t="s">
        <v>325</v>
      </c>
      <c r="AO18" s="2" t="str">
        <f>IF(AND('AIRFLOW FORM 9'!$E$55&gt;=195,'AIRFLOW FORM 9'!$E$55&lt;=475),"","FAIL")</f>
        <v>FAIL</v>
      </c>
      <c r="AR18" s="2" t="s">
        <v>88</v>
      </c>
      <c r="AS18" s="2" t="s">
        <v>325</v>
      </c>
      <c r="AT18" s="2" t="str">
        <f>IF(AND('AIRFLOW FORM 10'!$E$55&gt;=195,'AIRFLOW FORM 10'!$E$55&lt;=475),"","FAIL")</f>
        <v>FAIL</v>
      </c>
    </row>
    <row r="19" spans="1:46">
      <c r="A19" s="97" t="s">
        <v>291</v>
      </c>
      <c r="B19" s="136" t="s">
        <v>326</v>
      </c>
      <c r="C19" s="97" t="str">
        <f>IF(AND('AIRFLOW FORM'!$E$58&gt;=71,'AIRFLOW FORM'!$E$58&lt;=130),"","FAIL")</f>
        <v>FAIL</v>
      </c>
      <c r="E19" s="2" t="s">
        <v>291</v>
      </c>
      <c r="F19" s="2" t="s">
        <v>326</v>
      </c>
      <c r="G19" s="2" t="str">
        <f>IF(AND('AIRFLOW FORM 2'!$E$57&gt;=71,'AIRFLOW FORM 2'!$E$57&lt;=130),"","FAIL")</f>
        <v>FAIL</v>
      </c>
      <c r="I19" s="2" t="s">
        <v>291</v>
      </c>
      <c r="J19" s="2" t="s">
        <v>326</v>
      </c>
      <c r="K19" s="2" t="str">
        <f>IF(AND('AIRFLOW FORM 3'!$E$57&gt;=71,'AIRFLOW FORM 3'!$E$57&lt;=130),"","FAIL")</f>
        <v>FAIL</v>
      </c>
      <c r="N19" s="2" t="s">
        <v>291</v>
      </c>
      <c r="O19" s="2" t="s">
        <v>326</v>
      </c>
      <c r="P19" s="2" t="str">
        <f>IF(AND('AIRFLOW FORM 4'!$E$57&gt;=71,'AIRFLOW FORM 4'!$E$57&lt;=130),"","FAIL")</f>
        <v>FAIL</v>
      </c>
      <c r="S19" s="2" t="s">
        <v>291</v>
      </c>
      <c r="T19" s="2" t="s">
        <v>326</v>
      </c>
      <c r="U19" s="2" t="str">
        <f>IF(AND('AIRFLOW FORM 5'!$E$57&gt;=71,'AIRFLOW FORM 5'!$E$57&lt;=130),"","FAIL")</f>
        <v>FAIL</v>
      </c>
      <c r="X19" s="2" t="s">
        <v>291</v>
      </c>
      <c r="Y19" s="2" t="s">
        <v>326</v>
      </c>
      <c r="Z19" s="2" t="str">
        <f>IF(AND('AIRFLOW FORM 6'!$E$57&gt;=71,'AIRFLOW FORM 6'!$E$57&lt;=130),"","FAIL")</f>
        <v>FAIL</v>
      </c>
      <c r="AC19" s="2" t="s">
        <v>291</v>
      </c>
      <c r="AD19" s="2" t="s">
        <v>326</v>
      </c>
      <c r="AE19" s="2" t="str">
        <f>IF(AND('AIRFLOW FORM 7'!$E$57&gt;=71,'AIRFLOW FORM 7'!$E$57&lt;=130),"","FAIL")</f>
        <v>FAIL</v>
      </c>
      <c r="AH19" s="2" t="s">
        <v>291</v>
      </c>
      <c r="AI19" s="2" t="s">
        <v>326</v>
      </c>
      <c r="AJ19" s="2" t="str">
        <f>IF(AND('AIRFLOW FORM 8'!$E$57&gt;=71,'AIRFLOW FORM 8'!$E$57&lt;=130),"","FAIL")</f>
        <v>FAIL</v>
      </c>
      <c r="AM19" s="2" t="s">
        <v>291</v>
      </c>
      <c r="AN19" s="2" t="s">
        <v>326</v>
      </c>
      <c r="AO19" s="2" t="str">
        <f>IF(AND('AIRFLOW FORM 9'!$E$57&gt;=71,'AIRFLOW FORM 9'!$E$57&lt;=130),"","FAIL")</f>
        <v>FAIL</v>
      </c>
      <c r="AR19" s="2" t="s">
        <v>291</v>
      </c>
      <c r="AS19" s="2" t="s">
        <v>326</v>
      </c>
      <c r="AT19" s="2" t="str">
        <f>IF(AND('AIRFLOW FORM 10'!$E$57&gt;=71,'AIRFLOW FORM 10'!$E$57&lt;=130),"","FAIL")</f>
        <v>FAIL</v>
      </c>
    </row>
    <row r="20" spans="1:46">
      <c r="A20" s="97" t="s">
        <v>292</v>
      </c>
      <c r="B20" s="93" t="s">
        <v>327</v>
      </c>
      <c r="C20" s="97" t="str">
        <f>IF(AND('AIRFLOW FORM'!$E$60&gt;=57,'AIRFLOW FORM'!$E$60&lt;=116),"","FAIL")</f>
        <v>FAIL</v>
      </c>
      <c r="E20" s="2" t="s">
        <v>292</v>
      </c>
      <c r="F20" s="2" t="s">
        <v>327</v>
      </c>
      <c r="G20" s="2" t="str">
        <f>IF(AND('AIRFLOW FORM 2'!$E$59&gt;=57,'AIRFLOW FORM 2'!$E$59&lt;=116),"","FAIL")</f>
        <v>FAIL</v>
      </c>
      <c r="I20" s="2" t="s">
        <v>292</v>
      </c>
      <c r="J20" s="2" t="s">
        <v>327</v>
      </c>
      <c r="K20" s="2" t="str">
        <f>IF(AND('AIRFLOW FORM 3'!$E$59&gt;=57,'AIRFLOW FORM 3'!$E$59&lt;=116),"","FAIL")</f>
        <v>FAIL</v>
      </c>
      <c r="N20" s="2" t="s">
        <v>292</v>
      </c>
      <c r="O20" s="2" t="s">
        <v>327</v>
      </c>
      <c r="P20" s="2" t="str">
        <f>IF(AND('AIRFLOW FORM 4'!$E$59&gt;=57,'AIRFLOW FORM 4'!$E$59&lt;=116),"","FAIL")</f>
        <v>FAIL</v>
      </c>
      <c r="S20" s="2" t="s">
        <v>292</v>
      </c>
      <c r="T20" s="2" t="s">
        <v>327</v>
      </c>
      <c r="U20" s="2" t="str">
        <f>IF(AND('AIRFLOW FORM 5'!$E$59&gt;=57,'AIRFLOW FORM 5'!$E$59&lt;=116),"","FAIL")</f>
        <v>FAIL</v>
      </c>
      <c r="X20" s="2" t="s">
        <v>292</v>
      </c>
      <c r="Y20" s="2" t="s">
        <v>327</v>
      </c>
      <c r="Z20" s="2" t="str">
        <f>IF(AND('AIRFLOW FORM 6'!$E$59&gt;=57,'AIRFLOW FORM 6'!$E$59&lt;=116),"","FAIL")</f>
        <v>FAIL</v>
      </c>
      <c r="AC20" s="2" t="s">
        <v>292</v>
      </c>
      <c r="AD20" s="2" t="s">
        <v>327</v>
      </c>
      <c r="AE20" s="2" t="str">
        <f>IF(AND('AIRFLOW FORM 7'!$E$59&gt;=57,'AIRFLOW FORM 7'!$E$59&lt;=116),"","FAIL")</f>
        <v>FAIL</v>
      </c>
      <c r="AH20" s="2" t="s">
        <v>292</v>
      </c>
      <c r="AI20" s="2" t="s">
        <v>327</v>
      </c>
      <c r="AJ20" s="2" t="str">
        <f>IF(AND('AIRFLOW FORM 8'!$E$59&gt;=57,'AIRFLOW FORM 8'!$E$59&lt;=116),"","FAIL")</f>
        <v>FAIL</v>
      </c>
      <c r="AM20" s="2" t="s">
        <v>292</v>
      </c>
      <c r="AN20" s="2" t="s">
        <v>327</v>
      </c>
      <c r="AO20" s="2" t="str">
        <f>IF(AND('AIRFLOW FORM 9'!$E$59&gt;=57,'AIRFLOW FORM 9'!$E$59&lt;=116),"","FAIL")</f>
        <v>FAIL</v>
      </c>
      <c r="AR20" s="2" t="s">
        <v>292</v>
      </c>
      <c r="AS20" s="2" t="s">
        <v>327</v>
      </c>
      <c r="AT20" s="2" t="str">
        <f>IF(AND('AIRFLOW FORM 10'!$E$59&gt;=57,'AIRFLOW FORM 10'!$E$59&lt;=116),"","FAIL")</f>
        <v>FAIL</v>
      </c>
    </row>
    <row r="21" spans="1:46">
      <c r="A21" s="97" t="s">
        <v>293</v>
      </c>
      <c r="B21" s="136" t="s">
        <v>1490</v>
      </c>
      <c r="C21" s="97" t="str">
        <f>IF('AIRFLOW FORM'!E62="","",IF(AND('AIRFLOW FORM'!E62&lt;='AIRFLOW FORM'!E50+3,'AIRFLOW FORM'!E62&gt;='AIRFLOW FORM'!E50-3),"","FAIL"))</f>
        <v/>
      </c>
      <c r="E21" s="2" t="s">
        <v>293</v>
      </c>
      <c r="F21" s="501" t="s">
        <v>1490</v>
      </c>
      <c r="G21" s="2" t="str">
        <f>IF('AIRFLOW FORM 2'!E61="","",IF(AND('AIRFLOW FORM 2'!E61&lt;='AIRFLOW FORM 2'!E49+3,'AIRFLOW FORM 2'!E61&gt;='AIRFLOW FORM 2'!E49-3),"","FAIL"))</f>
        <v/>
      </c>
      <c r="I21" s="2" t="s">
        <v>293</v>
      </c>
      <c r="J21" s="501" t="s">
        <v>1490</v>
      </c>
      <c r="K21" s="2" t="str">
        <f>IF('AIRFLOW FORM 3'!E61="","",IF(AND('AIRFLOW FORM 3'!E61&lt;='AIRFLOW FORM 3'!E49+3,'AIRFLOW FORM 3'!E61&gt;='AIRFLOW FORM 3'!E49-3),"","FAIL"))</f>
        <v/>
      </c>
      <c r="N21" s="2" t="s">
        <v>293</v>
      </c>
      <c r="O21" s="501" t="s">
        <v>1490</v>
      </c>
      <c r="P21" s="2" t="str">
        <f>IF('AIRFLOW FORM 4'!E61="","",IF(AND('AIRFLOW FORM 4'!E61&lt;='AIRFLOW FORM 4'!E49+3,'AIRFLOW FORM 4'!E61&gt;='AIRFLOW FORM 4'!E49-3),"","FAIL"))</f>
        <v/>
      </c>
      <c r="S21" s="2" t="s">
        <v>293</v>
      </c>
      <c r="T21" s="501" t="s">
        <v>1490</v>
      </c>
      <c r="U21" s="2" t="str">
        <f>IF('AIRFLOW FORM 5'!E61="","",IF(AND('AIRFLOW FORM 5'!E61&lt;='AIRFLOW FORM 5'!E49+3,'AIRFLOW FORM 5'!E61&gt;='AIRFLOW FORM 5'!E49-3),"","FAIL"))</f>
        <v/>
      </c>
      <c r="X21" s="2" t="s">
        <v>293</v>
      </c>
      <c r="Y21" s="501" t="s">
        <v>1490</v>
      </c>
      <c r="Z21" s="2" t="str">
        <f>IF('AIRFLOW FORM 6'!E61="","",IF(AND('AIRFLOW FORM 6'!E61&lt;='AIRFLOW FORM 6'!E49+3,'AIRFLOW FORM 6'!E61&gt;='AIRFLOW FORM 6'!E49-3),"","FAIL"))</f>
        <v/>
      </c>
      <c r="AC21" s="2" t="s">
        <v>293</v>
      </c>
      <c r="AD21" s="501" t="s">
        <v>1490</v>
      </c>
      <c r="AE21" s="2" t="str">
        <f>IF('AIRFLOW FORM 7'!E61="","",IF(AND('AIRFLOW FORM 7'!E61&lt;='AIRFLOW FORM 7'!E49+3,'AIRFLOW FORM 7'!E61&gt;='AIRFLOW FORM 7'!E49-3),"","FAIL"))</f>
        <v/>
      </c>
      <c r="AH21" s="2" t="s">
        <v>293</v>
      </c>
      <c r="AI21" s="501" t="s">
        <v>1490</v>
      </c>
      <c r="AJ21" s="2" t="str">
        <f>IF('AIRFLOW FORM 8'!E61="","",IF(AND('AIRFLOW FORM 8'!E61&lt;='AIRFLOW FORM 8'!E49+3,'AIRFLOW FORM 8'!E61&gt;='AIRFLOW FORM 8'!E49-3),"","FAIL"))</f>
        <v/>
      </c>
      <c r="AM21" s="2" t="s">
        <v>293</v>
      </c>
      <c r="AN21" s="501" t="s">
        <v>1490</v>
      </c>
      <c r="AO21" s="2" t="str">
        <f>IF('AIRFLOW FORM 9'!E61="","",IF(AND('AIRFLOW FORM 9'!E61&lt;='AIRFLOW FORM 9'!E49+3,'AIRFLOW FORM 9'!E61&gt;='AIRFLOW FORM 9'!E49-3),"","FAIL"))</f>
        <v/>
      </c>
      <c r="AR21" s="2" t="s">
        <v>293</v>
      </c>
      <c r="AS21" s="501" t="s">
        <v>1490</v>
      </c>
      <c r="AT21" s="2" t="str">
        <f>IF('AIRFLOW FORM 10'!E61="","",IF(AND('AIRFLOW FORM 10'!E61&lt;='AIRFLOW FORM 10'!E49+3,'AIRFLOW FORM 10'!E61&gt;='AIRFLOW FORM 10'!E49-3),"","FAIL"))</f>
        <v/>
      </c>
    </row>
    <row r="22" spans="1:46">
      <c r="A22" s="97"/>
      <c r="B22" s="93"/>
      <c r="C22" s="97"/>
    </row>
    <row r="23" spans="1:46">
      <c r="A23" s="97"/>
      <c r="B23" s="93"/>
      <c r="C23" s="97"/>
    </row>
    <row r="24" spans="1:46">
      <c r="A24" s="98"/>
      <c r="B24" s="94"/>
      <c r="C24" s="98"/>
    </row>
    <row r="27" spans="1:46" ht="26">
      <c r="A27" s="135" t="s">
        <v>490</v>
      </c>
      <c r="B27" s="127" t="s">
        <v>318</v>
      </c>
      <c r="C27" s="127" t="s">
        <v>344</v>
      </c>
      <c r="E27" s="135" t="s">
        <v>493</v>
      </c>
      <c r="F27" s="127" t="s">
        <v>318</v>
      </c>
      <c r="G27" s="127" t="s">
        <v>344</v>
      </c>
      <c r="I27" s="135" t="s">
        <v>494</v>
      </c>
      <c r="J27" s="127" t="s">
        <v>318</v>
      </c>
      <c r="K27" s="127" t="s">
        <v>344</v>
      </c>
      <c r="N27" s="135" t="s">
        <v>499</v>
      </c>
      <c r="O27" s="127" t="s">
        <v>318</v>
      </c>
      <c r="P27" s="127" t="s">
        <v>344</v>
      </c>
      <c r="S27" s="135" t="s">
        <v>500</v>
      </c>
      <c r="T27" s="127" t="s">
        <v>318</v>
      </c>
      <c r="U27" s="127" t="s">
        <v>344</v>
      </c>
      <c r="X27" s="135" t="s">
        <v>501</v>
      </c>
      <c r="Y27" s="127" t="s">
        <v>318</v>
      </c>
      <c r="Z27" s="127" t="s">
        <v>344</v>
      </c>
      <c r="AC27" s="135" t="s">
        <v>503</v>
      </c>
      <c r="AD27" s="127" t="s">
        <v>318</v>
      </c>
      <c r="AE27" s="127" t="s">
        <v>344</v>
      </c>
      <c r="AH27" s="135" t="s">
        <v>508</v>
      </c>
      <c r="AI27" s="127" t="s">
        <v>318</v>
      </c>
      <c r="AJ27" s="127" t="s">
        <v>344</v>
      </c>
      <c r="AM27" s="135" t="s">
        <v>505</v>
      </c>
      <c r="AN27" s="127" t="s">
        <v>318</v>
      </c>
      <c r="AO27" s="127" t="s">
        <v>344</v>
      </c>
      <c r="AR27" s="135" t="s">
        <v>507</v>
      </c>
      <c r="AS27" s="127" t="s">
        <v>318</v>
      </c>
      <c r="AT27" s="127" t="s">
        <v>344</v>
      </c>
    </row>
    <row r="28" spans="1:46">
      <c r="A28" s="96" t="s">
        <v>328</v>
      </c>
      <c r="B28" s="259" t="s">
        <v>329</v>
      </c>
      <c r="C28" s="96" t="str">
        <f>IF(AND('AIRFLOW FORM'!$E$75&gt;=5,'AIRFLOW FORM'!$E$75&lt;=30),"","FAIL")</f>
        <v>FAIL</v>
      </c>
      <c r="E28" s="2" t="s">
        <v>328</v>
      </c>
      <c r="F28" s="2" t="s">
        <v>329</v>
      </c>
      <c r="G28" s="2" t="str">
        <f>IF(AND('AIRFLOW FORM 2'!$E$74&gt;=5,'AIRFLOW FORM 2'!$E$74&lt;=30),"","FAIL")</f>
        <v>FAIL</v>
      </c>
      <c r="I28" s="2" t="s">
        <v>328</v>
      </c>
      <c r="J28" s="2" t="s">
        <v>329</v>
      </c>
      <c r="K28" s="2" t="str">
        <f>IF(AND('AIRFLOW FORM 3'!$E$74&gt;=5,'AIRFLOW FORM 3'!$E$74&lt;=30),"","FAIL")</f>
        <v>FAIL</v>
      </c>
      <c r="N28" s="2" t="s">
        <v>328</v>
      </c>
      <c r="O28" s="2" t="s">
        <v>329</v>
      </c>
      <c r="P28" s="2" t="str">
        <f>IF(AND('AIRFLOW FORM 4'!$E$74&gt;=5,'AIRFLOW FORM 4'!$E$74&lt;=30),"","FAIL")</f>
        <v>FAIL</v>
      </c>
      <c r="S28" s="2" t="s">
        <v>328</v>
      </c>
      <c r="T28" s="2" t="s">
        <v>329</v>
      </c>
      <c r="U28" s="2" t="str">
        <f>IF(AND('AIRFLOW FORM 5'!$E$74&gt;=5,'AIRFLOW FORM 5'!$E$74&lt;=30),"","FAIL")</f>
        <v>FAIL</v>
      </c>
      <c r="X28" s="2" t="s">
        <v>328</v>
      </c>
      <c r="Y28" s="2" t="s">
        <v>329</v>
      </c>
      <c r="Z28" s="2" t="str">
        <f>IF(AND('AIRFLOW FORM 6'!$E$74&gt;=5,'AIRFLOW FORM 6'!$E$74&lt;=30),"","FAIL")</f>
        <v>FAIL</v>
      </c>
      <c r="AC28" s="2" t="s">
        <v>328</v>
      </c>
      <c r="AD28" s="2" t="s">
        <v>329</v>
      </c>
      <c r="AE28" s="2" t="str">
        <f>IF(AND('AIRFLOW FORM 7'!$E$74&gt;=5,'AIRFLOW FORM 7'!$E$74&lt;=30),"","FAIL")</f>
        <v>FAIL</v>
      </c>
      <c r="AH28" s="2" t="s">
        <v>328</v>
      </c>
      <c r="AI28" s="2" t="s">
        <v>329</v>
      </c>
      <c r="AJ28" s="2" t="str">
        <f>IF(AND('AIRFLOW FORM 8'!$E$74&gt;=5,'AIRFLOW FORM 8'!$E$74&lt;=30),"","FAIL")</f>
        <v>FAIL</v>
      </c>
      <c r="AM28" s="2" t="s">
        <v>328</v>
      </c>
      <c r="AN28" s="2" t="s">
        <v>329</v>
      </c>
      <c r="AO28" s="2" t="str">
        <f>IF(AND('AIRFLOW FORM 9'!$E$74&gt;=5,'AIRFLOW FORM 9'!$E$74&lt;=30),"","FAIL")</f>
        <v>FAIL</v>
      </c>
      <c r="AR28" s="2" t="s">
        <v>328</v>
      </c>
      <c r="AS28" s="2" t="s">
        <v>329</v>
      </c>
      <c r="AT28" s="2" t="str">
        <f>IF(AND('AIRFLOW FORM 10'!$E$74&gt;=5,'AIRFLOW FORM 10'!$E$74&lt;=30),"","FAIL")</f>
        <v>FAIL</v>
      </c>
    </row>
    <row r="29" spans="1:46">
      <c r="A29" s="97" t="s">
        <v>294</v>
      </c>
      <c r="B29" s="93" t="s">
        <v>330</v>
      </c>
      <c r="C29" s="97" t="str">
        <f>IF(AND('AIRFLOW FORM'!$E$78&gt;=50,'AIRFLOW FORM'!$E$78&lt;=80),"","FAIL")</f>
        <v>FAIL</v>
      </c>
      <c r="E29" s="2" t="s">
        <v>294</v>
      </c>
      <c r="F29" s="2" t="s">
        <v>330</v>
      </c>
      <c r="G29" s="2" t="str">
        <f>IF(AND('AIRFLOW FORM 2'!$E$77&gt;=50,'AIRFLOW FORM 2'!$E$77&lt;=80),"","FAIL")</f>
        <v>FAIL</v>
      </c>
      <c r="I29" s="2" t="s">
        <v>294</v>
      </c>
      <c r="J29" s="2" t="s">
        <v>330</v>
      </c>
      <c r="K29" s="2" t="str">
        <f>IF(AND('AIRFLOW FORM 3'!$E$77&gt;=50,'AIRFLOW FORM 3'!$E$77&lt;=80),"","FAIL")</f>
        <v>FAIL</v>
      </c>
      <c r="N29" s="2" t="s">
        <v>294</v>
      </c>
      <c r="O29" s="2" t="s">
        <v>330</v>
      </c>
      <c r="P29" s="2" t="str">
        <f>IF(AND('AIRFLOW FORM 4'!$E$77&gt;=50,'AIRFLOW FORM 4'!$E$77&lt;=80),"","FAIL")</f>
        <v>FAIL</v>
      </c>
      <c r="S29" s="2" t="s">
        <v>294</v>
      </c>
      <c r="T29" s="2" t="s">
        <v>330</v>
      </c>
      <c r="U29" s="2" t="str">
        <f>IF(AND('AIRFLOW FORM 5'!$E$77&gt;=50,'AIRFLOW FORM 5'!$E$77&lt;=80),"","FAIL")</f>
        <v>FAIL</v>
      </c>
      <c r="X29" s="2" t="s">
        <v>294</v>
      </c>
      <c r="Y29" s="2" t="s">
        <v>330</v>
      </c>
      <c r="Z29" s="2" t="str">
        <f>IF(AND('AIRFLOW FORM 6'!$E$77&gt;=50,'AIRFLOW FORM 6'!$E$77&lt;=80),"","FAIL")</f>
        <v>FAIL</v>
      </c>
      <c r="AC29" s="2" t="s">
        <v>294</v>
      </c>
      <c r="AD29" s="2" t="s">
        <v>330</v>
      </c>
      <c r="AE29" s="2" t="str">
        <f>IF(AND('AIRFLOW FORM 7'!$E$77&gt;=50,'AIRFLOW FORM 7'!$E$77&lt;=80),"","FAIL")</f>
        <v>FAIL</v>
      </c>
      <c r="AH29" s="2" t="s">
        <v>294</v>
      </c>
      <c r="AI29" s="2" t="s">
        <v>330</v>
      </c>
      <c r="AJ29" s="2" t="str">
        <f>IF(AND('AIRFLOW FORM 8'!$E$77&gt;=50,'AIRFLOW FORM 8'!$E$77&lt;=80),"","FAIL")</f>
        <v>FAIL</v>
      </c>
      <c r="AM29" s="2" t="s">
        <v>294</v>
      </c>
      <c r="AN29" s="2" t="s">
        <v>330</v>
      </c>
      <c r="AO29" s="2" t="str">
        <f>IF(AND('AIRFLOW FORM 9'!$E$77&gt;=50,'AIRFLOW FORM 9'!$E$77&lt;=80),"","FAIL")</f>
        <v>FAIL</v>
      </c>
      <c r="AR29" s="2" t="s">
        <v>294</v>
      </c>
      <c r="AS29" s="2" t="s">
        <v>330</v>
      </c>
      <c r="AT29" s="2" t="str">
        <f>IF(AND('AIRFLOW FORM 10'!$E$77&gt;=50,'AIRFLOW FORM 10'!$E$77&lt;=80),"","FAIL")</f>
        <v>FAIL</v>
      </c>
    </row>
    <row r="30" spans="1:46">
      <c r="A30" s="97" t="s">
        <v>290</v>
      </c>
      <c r="B30" s="93" t="s">
        <v>1492</v>
      </c>
      <c r="C30" s="97" t="str">
        <f>IF(AND('AIRFLOW FORM'!$E$80&gt;=50,'AIRFLOW FORM'!$E$80&lt;=114),"","FAIL")</f>
        <v>FAIL</v>
      </c>
      <c r="E30" s="2" t="s">
        <v>290</v>
      </c>
      <c r="F30" s="93" t="s">
        <v>1492</v>
      </c>
      <c r="G30" s="2" t="str">
        <f>IF(AND('AIRFLOW FORM 2'!$E$79&gt;=50,'AIRFLOW FORM 2'!$E$79&lt;=114),"","FAIL")</f>
        <v>FAIL</v>
      </c>
      <c r="I30" s="2" t="s">
        <v>290</v>
      </c>
      <c r="J30" s="93" t="s">
        <v>1492</v>
      </c>
      <c r="K30" s="2" t="str">
        <f>IF(AND('AIRFLOW FORM 3'!$E$79&gt;=50,'AIRFLOW FORM 3'!$E$79&lt;=114),"","FAIL")</f>
        <v>FAIL</v>
      </c>
      <c r="N30" s="2" t="s">
        <v>290</v>
      </c>
      <c r="O30" s="93" t="s">
        <v>1492</v>
      </c>
      <c r="P30" s="2" t="str">
        <f>IF(AND('AIRFLOW FORM 4'!$E$79&gt;=50,'AIRFLOW FORM 4'!$E$79&lt;=114),"","FAIL")</f>
        <v>FAIL</v>
      </c>
      <c r="S30" s="2" t="s">
        <v>290</v>
      </c>
      <c r="T30" s="93" t="s">
        <v>1492</v>
      </c>
      <c r="U30" s="2" t="str">
        <f>IF(AND('AIRFLOW FORM 5'!$E$79&gt;=50,'AIRFLOW FORM 5'!$E$79&lt;=114),"","FAIL")</f>
        <v>FAIL</v>
      </c>
      <c r="X30" s="2" t="s">
        <v>290</v>
      </c>
      <c r="Y30" s="93" t="s">
        <v>1492</v>
      </c>
      <c r="Z30" s="2" t="str">
        <f>IF(AND('AIRFLOW FORM 6'!$E$79&gt;=50,'AIRFLOW FORM 6'!$E$79&lt;=114),"","FAIL")</f>
        <v>FAIL</v>
      </c>
      <c r="AC30" s="2" t="s">
        <v>290</v>
      </c>
      <c r="AD30" s="93" t="s">
        <v>1492</v>
      </c>
      <c r="AE30" s="2" t="str">
        <f>IF(AND('AIRFLOW FORM 7'!$E$79&gt;=50,'AIRFLOW FORM 7'!$E$79&lt;=114),"","FAIL")</f>
        <v>FAIL</v>
      </c>
      <c r="AH30" s="2" t="s">
        <v>290</v>
      </c>
      <c r="AI30" s="93" t="s">
        <v>1492</v>
      </c>
      <c r="AJ30" s="2" t="str">
        <f>IF(AND('AIRFLOW FORM 8'!$E$79&gt;=50,'AIRFLOW FORM 8'!$E$79&lt;=114),"","FAIL")</f>
        <v>FAIL</v>
      </c>
      <c r="AM30" s="2" t="s">
        <v>290</v>
      </c>
      <c r="AN30" s="93" t="s">
        <v>1492</v>
      </c>
      <c r="AO30" s="2" t="str">
        <f>IF(AND('AIRFLOW FORM 9'!$E$79&gt;=50,'AIRFLOW FORM 9'!$E$79&lt;=114),"","FAIL")</f>
        <v>FAIL</v>
      </c>
      <c r="AR30" s="2" t="s">
        <v>290</v>
      </c>
      <c r="AS30" s="93" t="s">
        <v>1492</v>
      </c>
      <c r="AT30" s="2" t="str">
        <f>IF(AND('AIRFLOW FORM 10'!$E$79&gt;=50,'AIRFLOW FORM 10'!$E$79&lt;=114),"","FAIL")</f>
        <v>FAIL</v>
      </c>
    </row>
    <row r="31" spans="1:46">
      <c r="A31" s="97" t="s">
        <v>345</v>
      </c>
      <c r="B31" s="136" t="s">
        <v>331</v>
      </c>
      <c r="C31" s="97" t="str">
        <f>IF(AND('AIRFLOW FORM'!$E$85&gt;=110,'AIRFLOW FORM'!$E$85&lt;=160),"","FAIL")</f>
        <v>FAIL</v>
      </c>
      <c r="E31" s="2" t="s">
        <v>345</v>
      </c>
      <c r="F31" s="2" t="s">
        <v>331</v>
      </c>
      <c r="G31" s="2" t="str">
        <f>IF(AND('AIRFLOW FORM 2'!$E$84&gt;=110,'AIRFLOW FORM 2'!$E$84&lt;=160),"","FAIL")</f>
        <v>FAIL</v>
      </c>
      <c r="I31" s="2" t="s">
        <v>345</v>
      </c>
      <c r="J31" s="2" t="s">
        <v>331</v>
      </c>
      <c r="K31" s="2" t="str">
        <f>IF(AND('AIRFLOW FORM 3'!$E$84&gt;=110,'AIRFLOW FORM 3'!$E$84&lt;=160),"","FAIL")</f>
        <v>FAIL</v>
      </c>
      <c r="N31" s="2" t="s">
        <v>345</v>
      </c>
      <c r="O31" s="2" t="s">
        <v>331</v>
      </c>
      <c r="P31" s="2" t="str">
        <f>IF(AND('AIRFLOW FORM 4'!$E$84&gt;=110,'AIRFLOW FORM 4'!$E$84&lt;=160),"","FAIL")</f>
        <v>FAIL</v>
      </c>
      <c r="S31" s="2" t="s">
        <v>345</v>
      </c>
      <c r="T31" s="2" t="s">
        <v>331</v>
      </c>
      <c r="U31" s="2" t="str">
        <f>IF(AND('AIRFLOW FORM 5'!$E$84&gt;=110,'AIRFLOW FORM 5'!$E$84&lt;=160),"","FAIL")</f>
        <v>FAIL</v>
      </c>
      <c r="X31" s="2" t="s">
        <v>345</v>
      </c>
      <c r="Y31" s="2" t="s">
        <v>331</v>
      </c>
      <c r="Z31" s="2" t="str">
        <f>IF(AND('AIRFLOW FORM 6'!$E$84&gt;=110,'AIRFLOW FORM 6'!$E$84&lt;=160),"","FAIL")</f>
        <v>FAIL</v>
      </c>
      <c r="AC31" s="2" t="s">
        <v>345</v>
      </c>
      <c r="AD31" s="2" t="s">
        <v>331</v>
      </c>
      <c r="AE31" s="2" t="str">
        <f>IF(AND('AIRFLOW FORM 7'!$E$84&gt;=110,'AIRFLOW FORM 7'!$E$84&lt;=160),"","FAIL")</f>
        <v>FAIL</v>
      </c>
      <c r="AH31" s="2" t="s">
        <v>345</v>
      </c>
      <c r="AI31" s="2" t="s">
        <v>331</v>
      </c>
      <c r="AJ31" s="2" t="str">
        <f>IF(AND('AIRFLOW FORM 8'!$E$84&gt;=110,'AIRFLOW FORM 8'!$E$84&lt;=160),"","FAIL")</f>
        <v>FAIL</v>
      </c>
      <c r="AM31" s="2" t="s">
        <v>345</v>
      </c>
      <c r="AN31" s="2" t="s">
        <v>331</v>
      </c>
      <c r="AO31" s="2" t="str">
        <f>IF(AND('AIRFLOW FORM 9'!$E$84&gt;=110,'AIRFLOW FORM 9'!$E$84&lt;=160),"","FAIL")</f>
        <v>FAIL</v>
      </c>
      <c r="AR31" s="2" t="s">
        <v>345</v>
      </c>
      <c r="AS31" s="2" t="s">
        <v>331</v>
      </c>
      <c r="AT31" s="2" t="str">
        <f>IF(AND('AIRFLOW FORM 10'!$E$84&gt;=110,'AIRFLOW FORM 10'!$E$84&lt;=160),"","FAIL")</f>
        <v>FAIL</v>
      </c>
    </row>
    <row r="32" spans="1:46">
      <c r="A32" s="97" t="s">
        <v>291</v>
      </c>
      <c r="B32" s="93" t="s">
        <v>332</v>
      </c>
      <c r="C32" s="97" t="str">
        <f>IF(AND('AIRFLOW FORM'!$E$87&gt;=35,'AIRFLOW FORM'!$E$87&lt;=95),"","FAIL")</f>
        <v>FAIL</v>
      </c>
      <c r="E32" s="2" t="s">
        <v>291</v>
      </c>
      <c r="F32" s="2" t="s">
        <v>332</v>
      </c>
      <c r="G32" s="2" t="str">
        <f>IF(AND('AIRFLOW FORM 2'!$E$86&gt;=35,'AIRFLOW FORM 2'!$E$86&lt;=95),"","FAIL")</f>
        <v>FAIL</v>
      </c>
      <c r="I32" s="2" t="s">
        <v>291</v>
      </c>
      <c r="J32" s="2" t="s">
        <v>332</v>
      </c>
      <c r="K32" s="2" t="str">
        <f>IF(AND('AIRFLOW FORM 3'!$E$86&gt;=35,'AIRFLOW FORM 3'!$E$86&lt;=95),"","FAIL")</f>
        <v>FAIL</v>
      </c>
      <c r="N32" s="2" t="s">
        <v>291</v>
      </c>
      <c r="O32" s="2" t="s">
        <v>332</v>
      </c>
      <c r="P32" s="2" t="str">
        <f>IF(AND('AIRFLOW FORM 4'!$E$86&gt;=35,'AIRFLOW FORM 4'!$E$86&lt;=95),"","FAIL")</f>
        <v>FAIL</v>
      </c>
      <c r="S32" s="2" t="s">
        <v>291</v>
      </c>
      <c r="T32" s="2" t="s">
        <v>332</v>
      </c>
      <c r="U32" s="2" t="str">
        <f>IF(AND('AIRFLOW FORM 5'!$E$86&gt;=35,'AIRFLOW FORM 5'!$E$86&lt;=95),"","FAIL")</f>
        <v>FAIL</v>
      </c>
      <c r="X32" s="2" t="s">
        <v>291</v>
      </c>
      <c r="Y32" s="2" t="s">
        <v>332</v>
      </c>
      <c r="Z32" s="2" t="str">
        <f>IF(AND('AIRFLOW FORM 6'!$E$86&gt;=35,'AIRFLOW FORM 6'!$E$86&lt;=95),"","FAIL")</f>
        <v>FAIL</v>
      </c>
      <c r="AC32" s="2" t="s">
        <v>291</v>
      </c>
      <c r="AD32" s="2" t="s">
        <v>332</v>
      </c>
      <c r="AE32" s="2" t="str">
        <f>IF(AND('AIRFLOW FORM 7'!$E$86&gt;=35,'AIRFLOW FORM 7'!$E$86&lt;=95),"","FAIL")</f>
        <v>FAIL</v>
      </c>
      <c r="AH32" s="2" t="s">
        <v>291</v>
      </c>
      <c r="AI32" s="2" t="s">
        <v>332</v>
      </c>
      <c r="AJ32" s="2" t="str">
        <f>IF(AND('AIRFLOW FORM 8'!$E$86&gt;=35,'AIRFLOW FORM 8'!$E$86&lt;=95),"","FAIL")</f>
        <v>FAIL</v>
      </c>
      <c r="AM32" s="2" t="s">
        <v>291</v>
      </c>
      <c r="AN32" s="2" t="s">
        <v>332</v>
      </c>
      <c r="AO32" s="2" t="str">
        <f>IF(AND('AIRFLOW FORM 9'!$E$86&gt;=35,'AIRFLOW FORM 9'!$E$86&lt;=95),"","FAIL")</f>
        <v>FAIL</v>
      </c>
      <c r="AR32" s="2" t="s">
        <v>291</v>
      </c>
      <c r="AS32" s="2" t="s">
        <v>332</v>
      </c>
      <c r="AT32" s="2" t="str">
        <f>IF(AND('AIRFLOW FORM 10'!$E$86&gt;=35,'AIRFLOW FORM 10'!$E$86&lt;=95),"","FAIL")</f>
        <v>FAIL</v>
      </c>
    </row>
    <row r="33" spans="1:46">
      <c r="A33" s="97" t="s">
        <v>295</v>
      </c>
      <c r="B33" s="136" t="s">
        <v>333</v>
      </c>
      <c r="C33" s="97" t="str">
        <f>IF(AND('AIRFLOW FORM'!$E$89&gt;=40,'AIRFLOW FORM'!$E$89&lt;=90),"","FAIL")</f>
        <v>FAIL</v>
      </c>
      <c r="E33" s="2" t="s">
        <v>295</v>
      </c>
      <c r="F33" s="2" t="s">
        <v>333</v>
      </c>
      <c r="G33" s="2" t="str">
        <f>IF(AND('AIRFLOW FORM 2'!$E$88&gt;=40,'AIRFLOW FORM 2'!$E$88&lt;=90),"","FAIL")</f>
        <v>FAIL</v>
      </c>
      <c r="I33" s="2" t="s">
        <v>295</v>
      </c>
      <c r="J33" s="2" t="s">
        <v>333</v>
      </c>
      <c r="K33" s="2" t="str">
        <f>IF(AND('AIRFLOW FORM 3'!$E$88&gt;=40,'AIRFLOW FORM 3'!$E$88&lt;=90),"","FAIL")</f>
        <v>FAIL</v>
      </c>
      <c r="N33" s="2" t="s">
        <v>295</v>
      </c>
      <c r="O33" s="2" t="s">
        <v>333</v>
      </c>
      <c r="P33" s="2" t="str">
        <f>IF(AND('AIRFLOW FORM 4'!$E$88&gt;=40,'AIRFLOW FORM 4'!$E$88&lt;=90),"","FAIL")</f>
        <v>FAIL</v>
      </c>
      <c r="S33" s="2" t="s">
        <v>295</v>
      </c>
      <c r="T33" s="2" t="s">
        <v>333</v>
      </c>
      <c r="U33" s="2" t="str">
        <f>IF(AND('AIRFLOW FORM 5'!$E$88&gt;=40,'AIRFLOW FORM 5'!$E$88&lt;=90),"","FAIL")</f>
        <v>FAIL</v>
      </c>
      <c r="X33" s="2" t="s">
        <v>295</v>
      </c>
      <c r="Y33" s="2" t="s">
        <v>333</v>
      </c>
      <c r="Z33" s="2" t="str">
        <f>IF(AND('AIRFLOW FORM 6'!$E$88&gt;=40,'AIRFLOW FORM 6'!$E$88&lt;=90),"","FAIL")</f>
        <v>FAIL</v>
      </c>
      <c r="AC33" s="2" t="s">
        <v>295</v>
      </c>
      <c r="AD33" s="2" t="s">
        <v>333</v>
      </c>
      <c r="AE33" s="2" t="str">
        <f>IF(AND('AIRFLOW FORM 7'!$E$88&gt;=40,'AIRFLOW FORM 7'!$E$88&lt;=90),"","FAIL")</f>
        <v>FAIL</v>
      </c>
      <c r="AH33" s="2" t="s">
        <v>295</v>
      </c>
      <c r="AI33" s="2" t="s">
        <v>333</v>
      </c>
      <c r="AJ33" s="2" t="str">
        <f>IF(AND('AIRFLOW FORM 8'!$E$88&gt;=40,'AIRFLOW FORM 8'!$E$88&lt;=90),"","FAIL")</f>
        <v>FAIL</v>
      </c>
      <c r="AM33" s="2" t="s">
        <v>295</v>
      </c>
      <c r="AN33" s="2" t="s">
        <v>333</v>
      </c>
      <c r="AO33" s="2" t="str">
        <f>IF(AND('AIRFLOW FORM 9'!$E$88&gt;=40,'AIRFLOW FORM 9'!$E$88&lt;=90),"","FAIL")</f>
        <v>FAIL</v>
      </c>
      <c r="AR33" s="2" t="s">
        <v>295</v>
      </c>
      <c r="AS33" s="2" t="s">
        <v>333</v>
      </c>
      <c r="AT33" s="2" t="str">
        <f>IF(AND('AIRFLOW FORM 10'!$E$88&gt;=40,'AIRFLOW FORM 10'!$E$88&lt;=90),"","FAIL")</f>
        <v>FAIL</v>
      </c>
    </row>
    <row r="34" spans="1:46">
      <c r="A34" s="98" t="s">
        <v>1493</v>
      </c>
      <c r="B34" s="500" t="s">
        <v>1494</v>
      </c>
      <c r="C34" s="98" t="str">
        <f>IF('AIRFLOW FORM'!E91="","",IF(AND('AIRFLOW FORM'!E91&lt;='AIRFLOW FORM'!E75+5,'AIRFLOW FORM'!E91&gt;='AIRFLOW FORM'!E75-5),"","FAIL"))</f>
        <v/>
      </c>
      <c r="E34" s="98" t="s">
        <v>1493</v>
      </c>
      <c r="F34" s="500" t="s">
        <v>1494</v>
      </c>
      <c r="G34" s="98" t="str">
        <f>IF('AIRFLOW FORM 2'!E90="","",IF(AND('AIRFLOW FORM 2'!E90&lt;='AIRFLOW FORM 2'!E74+5,'AIRFLOW FORM 2'!E90&gt;='AIRFLOW FORM 2'!E74-5),"","FAIL"))</f>
        <v/>
      </c>
      <c r="I34" s="98" t="s">
        <v>1493</v>
      </c>
      <c r="J34" s="500" t="s">
        <v>1494</v>
      </c>
      <c r="K34" s="98" t="str">
        <f>IF('AIRFLOW FORM 3'!E90="","",IF(AND('AIRFLOW FORM 3'!E90&lt;='AIRFLOW FORM 3'!E74+5,'AIRFLOW FORM 3'!E90&gt;='AIRFLOW FORM 3'!E74-5),"","FAIL"))</f>
        <v/>
      </c>
      <c r="N34" s="98" t="s">
        <v>1493</v>
      </c>
      <c r="O34" s="500" t="s">
        <v>1494</v>
      </c>
      <c r="P34" s="98" t="str">
        <f>IF('AIRFLOW FORM 4'!E90="","",IF(AND('AIRFLOW FORM 4'!E90&lt;='AIRFLOW FORM 4'!E74+5,'AIRFLOW FORM 4'!E90&gt;='AIRFLOW FORM 4'!E74-5),"","FAIL"))</f>
        <v/>
      </c>
      <c r="S34" s="98" t="s">
        <v>1493</v>
      </c>
      <c r="T34" s="500" t="s">
        <v>1494</v>
      </c>
      <c r="U34" s="98" t="str">
        <f>IF('AIRFLOW FORM 5'!E90="","",IF(AND('AIRFLOW FORM 5'!E90&lt;='AIRFLOW FORM 5'!E74+5,'AIRFLOW FORM 5'!E90&gt;='AIRFLOW FORM 5'!E74-5),"","FAIL"))</f>
        <v/>
      </c>
      <c r="X34" s="98" t="s">
        <v>1493</v>
      </c>
      <c r="Y34" s="500" t="s">
        <v>1494</v>
      </c>
      <c r="Z34" s="98" t="str">
        <f>IF('AIRFLOW FORM 6'!E90="","",IF(AND('AIRFLOW FORM 6'!E90&lt;='AIRFLOW FORM 6'!E74+5,'AIRFLOW FORM 6'!E90&gt;='AIRFLOW FORM 6'!E74-5),"","FAIL"))</f>
        <v/>
      </c>
      <c r="AC34" s="98" t="s">
        <v>1493</v>
      </c>
      <c r="AD34" s="500" t="s">
        <v>1494</v>
      </c>
      <c r="AE34" s="98" t="str">
        <f>IF('AIRFLOW FORM 7'!E90="","",IF(AND('AIRFLOW FORM 7'!E90&lt;='AIRFLOW FORM 7'!E74+5,'AIRFLOW FORM 7'!E90&gt;='AIRFLOW FORM 7'!E74-5),"","FAIL"))</f>
        <v/>
      </c>
      <c r="AH34" s="98" t="s">
        <v>1493</v>
      </c>
      <c r="AI34" s="500" t="s">
        <v>1494</v>
      </c>
      <c r="AJ34" s="98" t="str">
        <f>IF('AIRFLOW FORM 8'!E90="","",IF(AND('AIRFLOW FORM 8'!E90&lt;='AIRFLOW FORM 8'!E74+5,'AIRFLOW FORM 8'!E90&gt;='AIRFLOW FORM 8'!E74-5),"","FAIL"))</f>
        <v/>
      </c>
      <c r="AM34" s="98" t="s">
        <v>1493</v>
      </c>
      <c r="AN34" s="500" t="s">
        <v>1494</v>
      </c>
      <c r="AO34" s="98" t="str">
        <f>IF('AIRFLOW FORM 9'!E90="","",IF(AND('AIRFLOW FORM 9'!E90&lt;='AIRFLOW FORM 9'!E74+5,'AIRFLOW FORM 9'!E90&gt;='AIRFLOW FORM 9'!E74-5),"","FAIL"))</f>
        <v/>
      </c>
      <c r="AR34" s="98" t="s">
        <v>1493</v>
      </c>
      <c r="AS34" s="500" t="s">
        <v>1494</v>
      </c>
      <c r="AT34" s="98" t="str">
        <f>IF('AIRFLOW FORM 10'!E90="","",IF(AND('AIRFLOW FORM 10'!E90&lt;='AIRFLOW FORM 10'!E74+5,'AIRFLOW FORM 10'!E90&gt;='AIRFLOW FORM 10'!E74-5),"","FAIL"))</f>
        <v/>
      </c>
    </row>
  </sheetData>
  <mergeCells count="2">
    <mergeCell ref="M2:P2"/>
    <mergeCell ref="I2:L2"/>
  </mergeCells>
  <phoneticPr fontId="137"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E98BD-D932-4218-B375-5767D6456506}">
  <sheetPr codeName="Sheet7">
    <tabColor rgb="FFFF0000"/>
  </sheetPr>
  <dimension ref="B2:CC25"/>
  <sheetViews>
    <sheetView topLeftCell="AE2" zoomScale="90" zoomScaleNormal="90" workbookViewId="0">
      <selection activeCell="AG29" sqref="AG29"/>
    </sheetView>
  </sheetViews>
  <sheetFormatPr defaultRowHeight="14.5"/>
  <cols>
    <col min="5" max="5" width="15.81640625" customWidth="1"/>
    <col min="10" max="11" width="14.1796875" customWidth="1"/>
    <col min="12" max="13" width="15.1796875" customWidth="1"/>
    <col min="15" max="18" width="11.453125" customWidth="1"/>
    <col min="23" max="24" width="17.453125" customWidth="1"/>
    <col min="25" max="26" width="21.7265625" customWidth="1"/>
    <col min="27" max="28" width="11.81640625" customWidth="1"/>
    <col min="29" max="30" width="16.26953125" customWidth="1"/>
    <col min="33" max="35" width="15.81640625" customWidth="1"/>
    <col min="36" max="36" width="11.81640625" customWidth="1"/>
    <col min="37" max="37" width="11.54296875" customWidth="1"/>
    <col min="39" max="39" width="15.26953125" customWidth="1"/>
    <col min="40" max="40" width="12.7265625" customWidth="1"/>
    <col min="41" max="41" width="14.54296875" customWidth="1"/>
    <col min="42" max="43" width="13.26953125" customWidth="1"/>
    <col min="44" max="45" width="15.81640625" customWidth="1"/>
    <col min="51" max="52" width="14" customWidth="1"/>
    <col min="57" max="57" width="21.453125" customWidth="1"/>
    <col min="58" max="58" width="19.453125" customWidth="1"/>
    <col min="59" max="59" width="21" customWidth="1"/>
    <col min="60" max="60" width="20.1796875" customWidth="1"/>
    <col min="61" max="62" width="12.81640625" customWidth="1"/>
    <col min="63" max="64" width="15.26953125" customWidth="1"/>
    <col min="68" max="70" width="11" customWidth="1"/>
    <col min="71" max="71" width="10.1796875" customWidth="1"/>
    <col min="72" max="72" width="14" customWidth="1"/>
    <col min="76" max="77" width="12.7265625" customWidth="1"/>
    <col min="78" max="79" width="15.453125" customWidth="1"/>
  </cols>
  <sheetData>
    <row r="2" spans="2:81" ht="15" thickBot="1"/>
    <row r="3" spans="2:81" ht="33.75" customHeight="1" thickBot="1">
      <c r="B3" s="1338" t="s">
        <v>1306</v>
      </c>
      <c r="C3" s="1339"/>
      <c r="D3" s="1339"/>
      <c r="E3" s="1339"/>
      <c r="F3" s="1339"/>
      <c r="G3" s="1339"/>
      <c r="H3" s="1339"/>
      <c r="I3" s="1339"/>
      <c r="J3" s="1339"/>
      <c r="K3" s="1339"/>
      <c r="L3" s="1339"/>
      <c r="M3" s="1340"/>
      <c r="N3" s="38"/>
      <c r="O3" s="1338" t="s">
        <v>720</v>
      </c>
      <c r="P3" s="1339"/>
      <c r="Q3" s="1339"/>
      <c r="R3" s="1339"/>
      <c r="S3" s="1339"/>
      <c r="T3" s="1339"/>
      <c r="U3" s="1339"/>
      <c r="V3" s="1339"/>
      <c r="W3" s="1339"/>
      <c r="X3" s="1339"/>
      <c r="Y3" s="1339"/>
      <c r="Z3" s="1339"/>
      <c r="AA3" s="1339"/>
      <c r="AB3" s="1339"/>
      <c r="AC3" s="1339"/>
      <c r="AD3" s="1340"/>
      <c r="AG3" s="1338" t="s">
        <v>1357</v>
      </c>
      <c r="AH3" s="1339"/>
      <c r="AI3" s="1339"/>
      <c r="AJ3" s="1339"/>
      <c r="AK3" s="1339"/>
      <c r="AL3" s="1339"/>
      <c r="AM3" s="1339"/>
      <c r="AN3" s="1339"/>
      <c r="AO3" s="1339"/>
      <c r="AP3" s="1339"/>
      <c r="AQ3" s="1339"/>
      <c r="AR3" s="1339"/>
      <c r="AS3" s="1340"/>
      <c r="AT3" s="446"/>
      <c r="AU3" s="447"/>
      <c r="AV3" s="448"/>
      <c r="AW3" s="1338" t="s">
        <v>1305</v>
      </c>
      <c r="AX3" s="1339"/>
      <c r="AY3" s="1339"/>
      <c r="AZ3" s="1339"/>
      <c r="BA3" s="1339"/>
      <c r="BB3" s="1339"/>
      <c r="BC3" s="1339"/>
      <c r="BD3" s="1339"/>
      <c r="BE3" s="1339"/>
      <c r="BF3" s="1339"/>
      <c r="BG3" s="1339"/>
      <c r="BH3" s="1339"/>
      <c r="BI3" s="1339"/>
      <c r="BJ3" s="1339"/>
      <c r="BK3" s="1339"/>
      <c r="BL3" s="1340"/>
      <c r="BP3" s="1338" t="s">
        <v>1307</v>
      </c>
      <c r="BQ3" s="1339"/>
      <c r="BR3" s="1339"/>
      <c r="BS3" s="1339"/>
      <c r="BT3" s="1339"/>
      <c r="BU3" s="1339"/>
      <c r="BV3" s="1339"/>
      <c r="BW3" s="1339"/>
      <c r="BX3" s="1339"/>
      <c r="BY3" s="1339"/>
      <c r="BZ3" s="1339"/>
      <c r="CA3" s="1340"/>
      <c r="CB3" s="1391"/>
      <c r="CC3" s="1391"/>
    </row>
    <row r="4" spans="2:81" ht="16.5" customHeight="1">
      <c r="B4" s="1383" t="s">
        <v>18</v>
      </c>
      <c r="C4" s="1384"/>
      <c r="D4" s="1384"/>
      <c r="E4" s="1385"/>
      <c r="F4" s="1341" t="s">
        <v>17</v>
      </c>
      <c r="G4" s="1342"/>
      <c r="H4" s="1342"/>
      <c r="I4" s="1343"/>
      <c r="J4" s="1341" t="s">
        <v>174</v>
      </c>
      <c r="K4" s="1343"/>
      <c r="L4" s="1341" t="s">
        <v>369</v>
      </c>
      <c r="M4" s="1343"/>
      <c r="N4" s="38"/>
      <c r="O4" s="1363" t="s">
        <v>18</v>
      </c>
      <c r="P4" s="1364"/>
      <c r="Q4" s="1364"/>
      <c r="R4" s="1365"/>
      <c r="S4" s="1369" t="s">
        <v>17</v>
      </c>
      <c r="T4" s="1364"/>
      <c r="U4" s="1364"/>
      <c r="V4" s="1365"/>
      <c r="W4" s="1341" t="s">
        <v>174</v>
      </c>
      <c r="X4" s="1342"/>
      <c r="Y4" s="1342"/>
      <c r="Z4" s="1342"/>
      <c r="AA4" s="1342"/>
      <c r="AB4" s="1343"/>
      <c r="AC4" s="1341" t="s">
        <v>369</v>
      </c>
      <c r="AD4" s="1343"/>
      <c r="AG4" s="1383" t="s">
        <v>18</v>
      </c>
      <c r="AH4" s="1384"/>
      <c r="AI4" s="1384"/>
      <c r="AJ4" s="1385"/>
      <c r="AK4" s="1341" t="s">
        <v>17</v>
      </c>
      <c r="AL4" s="1342"/>
      <c r="AM4" s="1342"/>
      <c r="AN4" s="1342"/>
      <c r="AO4" s="1343"/>
      <c r="AP4" s="1341" t="s">
        <v>174</v>
      </c>
      <c r="AQ4" s="1343"/>
      <c r="AR4" s="1341" t="s">
        <v>369</v>
      </c>
      <c r="AS4" s="1343"/>
      <c r="AW4" s="1363" t="s">
        <v>18</v>
      </c>
      <c r="AX4" s="1364"/>
      <c r="AY4" s="1364"/>
      <c r="AZ4" s="1365"/>
      <c r="BA4" s="1369" t="s">
        <v>17</v>
      </c>
      <c r="BB4" s="1364"/>
      <c r="BC4" s="1364"/>
      <c r="BD4" s="1365"/>
      <c r="BE4" s="1341" t="s">
        <v>174</v>
      </c>
      <c r="BF4" s="1342"/>
      <c r="BG4" s="1342"/>
      <c r="BH4" s="1342"/>
      <c r="BI4" s="1342"/>
      <c r="BJ4" s="1343"/>
      <c r="BK4" s="1341" t="s">
        <v>369</v>
      </c>
      <c r="BL4" s="1343"/>
      <c r="BP4" s="1383" t="s">
        <v>18</v>
      </c>
      <c r="BQ4" s="1384"/>
      <c r="BR4" s="1384"/>
      <c r="BS4" s="1385"/>
      <c r="BT4" s="1341" t="s">
        <v>17</v>
      </c>
      <c r="BU4" s="1342"/>
      <c r="BV4" s="1342"/>
      <c r="BW4" s="1343"/>
      <c r="BX4" s="1341" t="s">
        <v>174</v>
      </c>
      <c r="BY4" s="1343"/>
      <c r="BZ4" s="1341" t="s">
        <v>369</v>
      </c>
      <c r="CA4" s="1343"/>
      <c r="CB4" s="449"/>
      <c r="CC4" s="449"/>
    </row>
    <row r="5" spans="2:81" ht="15" customHeight="1">
      <c r="B5" s="1386"/>
      <c r="C5" s="1387"/>
      <c r="D5" s="1387"/>
      <c r="E5" s="1388"/>
      <c r="F5" s="1349" t="s">
        <v>28</v>
      </c>
      <c r="G5" s="1358" t="s">
        <v>374</v>
      </c>
      <c r="H5" s="1358" t="s">
        <v>370</v>
      </c>
      <c r="I5" s="1346" t="s">
        <v>724</v>
      </c>
      <c r="J5" s="1349" t="s">
        <v>29</v>
      </c>
      <c r="K5" s="1346" t="s">
        <v>30</v>
      </c>
      <c r="L5" s="1349" t="s">
        <v>29</v>
      </c>
      <c r="M5" s="1346" t="s">
        <v>140</v>
      </c>
      <c r="N5" s="38"/>
      <c r="O5" s="1366"/>
      <c r="P5" s="1367"/>
      <c r="Q5" s="1367"/>
      <c r="R5" s="1368"/>
      <c r="S5" s="1379" t="s">
        <v>28</v>
      </c>
      <c r="T5" s="1367" t="s">
        <v>374</v>
      </c>
      <c r="U5" s="1367" t="s">
        <v>370</v>
      </c>
      <c r="V5" s="1368" t="s">
        <v>724</v>
      </c>
      <c r="W5" s="1344" t="s">
        <v>371</v>
      </c>
      <c r="X5" s="1346" t="s">
        <v>372</v>
      </c>
      <c r="Y5" s="1344" t="s">
        <v>725</v>
      </c>
      <c r="Z5" s="1346" t="s">
        <v>726</v>
      </c>
      <c r="AA5" s="1344" t="s">
        <v>727</v>
      </c>
      <c r="AB5" s="1346" t="s">
        <v>728</v>
      </c>
      <c r="AC5" s="1349" t="s">
        <v>29</v>
      </c>
      <c r="AD5" s="1346" t="s">
        <v>30</v>
      </c>
      <c r="AG5" s="1345"/>
      <c r="AH5" s="1389"/>
      <c r="AI5" s="1389"/>
      <c r="AJ5" s="1390"/>
      <c r="AK5" s="440" t="s">
        <v>28</v>
      </c>
      <c r="AL5" s="441" t="s">
        <v>875</v>
      </c>
      <c r="AM5" s="441" t="s">
        <v>876</v>
      </c>
      <c r="AN5" s="441" t="s">
        <v>877</v>
      </c>
      <c r="AO5" s="441" t="s">
        <v>878</v>
      </c>
      <c r="AP5" s="440" t="s">
        <v>29</v>
      </c>
      <c r="AQ5" s="442" t="s">
        <v>30</v>
      </c>
      <c r="AR5" s="440" t="s">
        <v>29</v>
      </c>
      <c r="AS5" s="442" t="s">
        <v>140</v>
      </c>
      <c r="AW5" s="1366"/>
      <c r="AX5" s="1367"/>
      <c r="AY5" s="1367"/>
      <c r="AZ5" s="1368"/>
      <c r="BA5" s="1379" t="s">
        <v>28</v>
      </c>
      <c r="BB5" s="1367" t="s">
        <v>374</v>
      </c>
      <c r="BC5" s="1367" t="s">
        <v>370</v>
      </c>
      <c r="BD5" s="1368" t="s">
        <v>724</v>
      </c>
      <c r="BE5" s="1344" t="s">
        <v>371</v>
      </c>
      <c r="BF5" s="1346" t="s">
        <v>372</v>
      </c>
      <c r="BG5" s="1344" t="s">
        <v>725</v>
      </c>
      <c r="BH5" s="1346" t="s">
        <v>726</v>
      </c>
      <c r="BI5" s="1344" t="s">
        <v>727</v>
      </c>
      <c r="BJ5" s="1346" t="s">
        <v>728</v>
      </c>
      <c r="BK5" s="1349" t="s">
        <v>29</v>
      </c>
      <c r="BL5" s="1346" t="s">
        <v>30</v>
      </c>
      <c r="BP5" s="1386"/>
      <c r="BQ5" s="1387"/>
      <c r="BR5" s="1387"/>
      <c r="BS5" s="1388"/>
      <c r="BT5" s="1349" t="s">
        <v>28</v>
      </c>
      <c r="BU5" s="1358" t="s">
        <v>374</v>
      </c>
      <c r="BV5" s="1358" t="s">
        <v>370</v>
      </c>
      <c r="BW5" s="1346" t="s">
        <v>724</v>
      </c>
      <c r="BX5" s="1349" t="s">
        <v>29</v>
      </c>
      <c r="BY5" s="1346" t="s">
        <v>30</v>
      </c>
      <c r="BZ5" s="1349" t="s">
        <v>29</v>
      </c>
      <c r="CA5" s="1346" t="s">
        <v>140</v>
      </c>
      <c r="CB5" s="450"/>
      <c r="CC5" s="450"/>
    </row>
    <row r="6" spans="2:81" ht="16.5" customHeight="1">
      <c r="B6" s="1345"/>
      <c r="C6" s="1389"/>
      <c r="D6" s="1389"/>
      <c r="E6" s="1390"/>
      <c r="F6" s="1350"/>
      <c r="G6" s="1359"/>
      <c r="H6" s="1359"/>
      <c r="I6" s="1347"/>
      <c r="J6" s="1350"/>
      <c r="K6" s="1347"/>
      <c r="L6" s="1350"/>
      <c r="M6" s="1347"/>
      <c r="N6" s="38"/>
      <c r="O6" s="1366"/>
      <c r="P6" s="1367"/>
      <c r="Q6" s="1367"/>
      <c r="R6" s="1368"/>
      <c r="S6" s="1379"/>
      <c r="T6" s="1367"/>
      <c r="U6" s="1367"/>
      <c r="V6" s="1368"/>
      <c r="W6" s="1345"/>
      <c r="X6" s="1347"/>
      <c r="Y6" s="1345"/>
      <c r="Z6" s="1347"/>
      <c r="AA6" s="1345"/>
      <c r="AB6" s="1347"/>
      <c r="AC6" s="1350"/>
      <c r="AD6" s="1347"/>
      <c r="AG6" s="1335" t="s">
        <v>1470</v>
      </c>
      <c r="AH6" s="1336"/>
      <c r="AI6" s="1336"/>
      <c r="AJ6" s="1337"/>
      <c r="AK6" s="402">
        <v>15</v>
      </c>
      <c r="AL6" s="178" t="s">
        <v>42</v>
      </c>
      <c r="AM6" s="178">
        <v>8.5</v>
      </c>
      <c r="AN6" s="178">
        <v>16</v>
      </c>
      <c r="AO6" s="178">
        <v>8.5</v>
      </c>
      <c r="AP6" s="179">
        <v>300</v>
      </c>
      <c r="AQ6" s="401">
        <v>325</v>
      </c>
      <c r="AR6" s="179">
        <v>200</v>
      </c>
      <c r="AS6" s="401">
        <v>200</v>
      </c>
      <c r="AW6" s="1366"/>
      <c r="AX6" s="1367"/>
      <c r="AY6" s="1367"/>
      <c r="AZ6" s="1368"/>
      <c r="BA6" s="1379"/>
      <c r="BB6" s="1367"/>
      <c r="BC6" s="1367"/>
      <c r="BD6" s="1368"/>
      <c r="BE6" s="1345"/>
      <c r="BF6" s="1347"/>
      <c r="BG6" s="1345"/>
      <c r="BH6" s="1347"/>
      <c r="BI6" s="1345"/>
      <c r="BJ6" s="1347"/>
      <c r="BK6" s="1350"/>
      <c r="BL6" s="1347"/>
      <c r="BP6" s="1345"/>
      <c r="BQ6" s="1389"/>
      <c r="BR6" s="1389"/>
      <c r="BS6" s="1390"/>
      <c r="BT6" s="1350"/>
      <c r="BU6" s="1359"/>
      <c r="BV6" s="1359"/>
      <c r="BW6" s="1347"/>
      <c r="BX6" s="1350"/>
      <c r="BY6" s="1347"/>
      <c r="BZ6" s="1350"/>
      <c r="CA6" s="1347"/>
      <c r="CB6" s="450"/>
      <c r="CC6" s="450"/>
    </row>
    <row r="7" spans="2:81" ht="15" customHeight="1">
      <c r="B7" s="1370" t="s">
        <v>604</v>
      </c>
      <c r="C7" s="1371"/>
      <c r="D7" s="1371"/>
      <c r="E7" s="1372"/>
      <c r="F7" s="178">
        <v>16</v>
      </c>
      <c r="G7" s="178">
        <v>8.5</v>
      </c>
      <c r="H7" s="178">
        <v>17</v>
      </c>
      <c r="I7" s="180">
        <v>10</v>
      </c>
      <c r="J7" s="231">
        <v>800</v>
      </c>
      <c r="K7" s="313">
        <v>1000</v>
      </c>
      <c r="L7" s="231">
        <v>500</v>
      </c>
      <c r="M7" s="313">
        <v>500</v>
      </c>
      <c r="N7" s="38"/>
      <c r="O7" s="1355" t="s">
        <v>561</v>
      </c>
      <c r="P7" s="1356"/>
      <c r="Q7" s="1356"/>
      <c r="R7" s="1357"/>
      <c r="S7" s="324" t="s">
        <v>42</v>
      </c>
      <c r="T7" s="178" t="s">
        <v>42</v>
      </c>
      <c r="U7" s="178">
        <v>17</v>
      </c>
      <c r="V7" s="180">
        <v>10</v>
      </c>
      <c r="W7" s="179" t="s">
        <v>42</v>
      </c>
      <c r="X7" s="312">
        <v>1000</v>
      </c>
      <c r="Y7" s="179" t="s">
        <v>42</v>
      </c>
      <c r="Z7" s="312">
        <v>800</v>
      </c>
      <c r="AA7" s="179" t="s">
        <v>42</v>
      </c>
      <c r="AB7" s="313">
        <v>600</v>
      </c>
      <c r="AC7" s="179" t="s">
        <v>42</v>
      </c>
      <c r="AD7" s="313">
        <v>500</v>
      </c>
      <c r="AG7" s="1335" t="s">
        <v>879</v>
      </c>
      <c r="AH7" s="1336"/>
      <c r="AI7" s="1336"/>
      <c r="AJ7" s="1337"/>
      <c r="AK7" s="402" t="s">
        <v>42</v>
      </c>
      <c r="AL7" s="178" t="s">
        <v>42</v>
      </c>
      <c r="AM7" s="178" t="s">
        <v>42</v>
      </c>
      <c r="AN7" s="178">
        <v>17</v>
      </c>
      <c r="AO7" s="178">
        <v>10</v>
      </c>
      <c r="AP7" s="179" t="s">
        <v>42</v>
      </c>
      <c r="AQ7" s="401">
        <v>350</v>
      </c>
      <c r="AR7" s="179" t="s">
        <v>42</v>
      </c>
      <c r="AS7" s="401">
        <v>250</v>
      </c>
      <c r="AW7" s="1355" t="s">
        <v>561</v>
      </c>
      <c r="AX7" s="1356"/>
      <c r="AY7" s="1356"/>
      <c r="AZ7" s="1357"/>
      <c r="BA7" s="324" t="s">
        <v>42</v>
      </c>
      <c r="BB7" s="178" t="s">
        <v>42</v>
      </c>
      <c r="BC7" s="178">
        <v>17</v>
      </c>
      <c r="BD7" s="180">
        <v>10</v>
      </c>
      <c r="BE7" s="179" t="s">
        <v>42</v>
      </c>
      <c r="BF7" s="312">
        <v>1500</v>
      </c>
      <c r="BG7" s="179" t="s">
        <v>42</v>
      </c>
      <c r="BH7" s="312">
        <v>1200</v>
      </c>
      <c r="BI7" s="179" t="s">
        <v>42</v>
      </c>
      <c r="BJ7" s="313">
        <v>900</v>
      </c>
      <c r="BK7" s="179" t="s">
        <v>42</v>
      </c>
      <c r="BL7" s="313">
        <v>500</v>
      </c>
      <c r="BP7" s="1370" t="s">
        <v>604</v>
      </c>
      <c r="BQ7" s="1371"/>
      <c r="BR7" s="1371"/>
      <c r="BS7" s="1372"/>
      <c r="BT7" s="178">
        <v>16</v>
      </c>
      <c r="BU7" s="178">
        <v>8.5</v>
      </c>
      <c r="BV7" s="178">
        <v>17</v>
      </c>
      <c r="BW7" s="180">
        <v>10</v>
      </c>
      <c r="BX7" s="231">
        <v>1200</v>
      </c>
      <c r="BY7" s="313">
        <v>1500</v>
      </c>
      <c r="BZ7" s="231">
        <v>500</v>
      </c>
      <c r="CA7" s="313">
        <v>500</v>
      </c>
      <c r="CB7" s="450"/>
      <c r="CC7" s="450"/>
    </row>
    <row r="8" spans="2:81" ht="15.75" customHeight="1" thickBot="1">
      <c r="B8" s="1373" t="s">
        <v>605</v>
      </c>
      <c r="C8" s="1374"/>
      <c r="D8" s="1374"/>
      <c r="E8" s="1375"/>
      <c r="F8" s="274" t="s">
        <v>42</v>
      </c>
      <c r="G8" s="274" t="s">
        <v>42</v>
      </c>
      <c r="H8" s="274">
        <v>17</v>
      </c>
      <c r="I8" s="275">
        <v>10</v>
      </c>
      <c r="J8" s="276" t="s">
        <v>42</v>
      </c>
      <c r="K8" s="277">
        <v>1000</v>
      </c>
      <c r="L8" s="276" t="s">
        <v>42</v>
      </c>
      <c r="M8" s="277">
        <v>500</v>
      </c>
      <c r="N8" s="38"/>
      <c r="O8" s="1351" t="s">
        <v>562</v>
      </c>
      <c r="P8" s="1352"/>
      <c r="Q8" s="1352"/>
      <c r="R8" s="1353"/>
      <c r="S8" s="325" t="s">
        <v>42</v>
      </c>
      <c r="T8" s="326" t="s">
        <v>42</v>
      </c>
      <c r="U8" s="181">
        <v>18</v>
      </c>
      <c r="V8" s="309">
        <v>10</v>
      </c>
      <c r="W8" s="310" t="s">
        <v>42</v>
      </c>
      <c r="X8" s="311">
        <v>1000</v>
      </c>
      <c r="Y8" s="310" t="s">
        <v>42</v>
      </c>
      <c r="Z8" s="311">
        <v>800</v>
      </c>
      <c r="AA8" s="310" t="s">
        <v>42</v>
      </c>
      <c r="AB8" s="314">
        <v>600</v>
      </c>
      <c r="AC8" s="310" t="s">
        <v>42</v>
      </c>
      <c r="AD8" s="314">
        <v>500</v>
      </c>
      <c r="AG8" s="1335" t="s">
        <v>880</v>
      </c>
      <c r="AH8" s="1336"/>
      <c r="AI8" s="1336"/>
      <c r="AJ8" s="1337"/>
      <c r="AK8" s="402">
        <v>18</v>
      </c>
      <c r="AL8" s="178" t="s">
        <v>42</v>
      </c>
      <c r="AM8" s="178">
        <v>8.5</v>
      </c>
      <c r="AN8" s="178" t="s">
        <v>42</v>
      </c>
      <c r="AO8" s="178" t="s">
        <v>42</v>
      </c>
      <c r="AP8" s="179">
        <v>300</v>
      </c>
      <c r="AQ8" s="401" t="s">
        <v>42</v>
      </c>
      <c r="AR8" s="179">
        <v>200</v>
      </c>
      <c r="AS8" s="401" t="s">
        <v>42</v>
      </c>
      <c r="AW8" s="1351" t="s">
        <v>562</v>
      </c>
      <c r="AX8" s="1352"/>
      <c r="AY8" s="1352"/>
      <c r="AZ8" s="1353"/>
      <c r="BA8" s="325" t="s">
        <v>42</v>
      </c>
      <c r="BB8" s="326" t="s">
        <v>42</v>
      </c>
      <c r="BC8" s="181">
        <v>18</v>
      </c>
      <c r="BD8" s="309">
        <v>10</v>
      </c>
      <c r="BE8" s="310" t="s">
        <v>42</v>
      </c>
      <c r="BF8" s="311">
        <v>1500</v>
      </c>
      <c r="BG8" s="310" t="s">
        <v>42</v>
      </c>
      <c r="BH8" s="311">
        <v>1200</v>
      </c>
      <c r="BI8" s="310" t="s">
        <v>42</v>
      </c>
      <c r="BJ8" s="314">
        <v>900</v>
      </c>
      <c r="BK8" s="310" t="s">
        <v>42</v>
      </c>
      <c r="BL8" s="314">
        <v>500</v>
      </c>
      <c r="BP8" s="1373" t="s">
        <v>605</v>
      </c>
      <c r="BQ8" s="1374"/>
      <c r="BR8" s="1374"/>
      <c r="BS8" s="1375"/>
      <c r="BT8" s="274" t="s">
        <v>42</v>
      </c>
      <c r="BU8" s="274" t="s">
        <v>42</v>
      </c>
      <c r="BV8" s="274">
        <v>17</v>
      </c>
      <c r="BW8" s="275">
        <v>10</v>
      </c>
      <c r="BX8" s="276" t="s">
        <v>42</v>
      </c>
      <c r="BY8" s="277">
        <v>1500</v>
      </c>
      <c r="BZ8" s="276" t="s">
        <v>42</v>
      </c>
      <c r="CA8" s="277">
        <v>500</v>
      </c>
      <c r="CB8" s="450"/>
      <c r="CC8" s="450"/>
    </row>
    <row r="9" spans="2:81" ht="15" customHeight="1">
      <c r="B9" s="1376" t="s">
        <v>606</v>
      </c>
      <c r="C9" s="1377"/>
      <c r="D9" s="1377"/>
      <c r="E9" s="1378"/>
      <c r="F9" s="274">
        <v>18</v>
      </c>
      <c r="G9" s="274">
        <v>8.5</v>
      </c>
      <c r="H9" s="274">
        <v>18</v>
      </c>
      <c r="I9" s="278">
        <v>10</v>
      </c>
      <c r="J9" s="279">
        <v>800</v>
      </c>
      <c r="K9" s="277">
        <v>1000</v>
      </c>
      <c r="L9" s="279">
        <v>500</v>
      </c>
      <c r="M9" s="277">
        <v>500</v>
      </c>
      <c r="N9" s="38"/>
      <c r="O9" s="1354"/>
      <c r="P9" s="1354"/>
      <c r="Q9" s="1354"/>
      <c r="R9" s="1354"/>
      <c r="S9" s="305"/>
      <c r="T9" s="305"/>
      <c r="U9" s="305"/>
      <c r="V9" s="305"/>
      <c r="W9" s="1348"/>
      <c r="X9" s="1348"/>
      <c r="Y9" s="1348"/>
      <c r="Z9" s="1348"/>
      <c r="AA9" s="1348"/>
      <c r="AB9" s="1348"/>
      <c r="AC9" s="306"/>
      <c r="AD9" s="306"/>
      <c r="AG9" s="1335" t="s">
        <v>881</v>
      </c>
      <c r="AH9" s="1336"/>
      <c r="AI9" s="1336"/>
      <c r="AJ9" s="1337"/>
      <c r="AK9" s="402" t="s">
        <v>42</v>
      </c>
      <c r="AL9" s="178" t="s">
        <v>42</v>
      </c>
      <c r="AM9" s="178" t="s">
        <v>42</v>
      </c>
      <c r="AN9" s="178">
        <v>18</v>
      </c>
      <c r="AO9" s="178">
        <v>10</v>
      </c>
      <c r="AP9" s="179" t="s">
        <v>42</v>
      </c>
      <c r="AQ9" s="401">
        <v>300</v>
      </c>
      <c r="AR9" s="179" t="s">
        <v>42</v>
      </c>
      <c r="AS9" s="401">
        <v>250</v>
      </c>
      <c r="BP9" s="1376" t="s">
        <v>606</v>
      </c>
      <c r="BQ9" s="1377"/>
      <c r="BR9" s="1377"/>
      <c r="BS9" s="1378"/>
      <c r="BT9" s="274">
        <v>18</v>
      </c>
      <c r="BU9" s="274">
        <v>8.5</v>
      </c>
      <c r="BV9" s="274">
        <v>18</v>
      </c>
      <c r="BW9" s="278">
        <v>10</v>
      </c>
      <c r="BX9" s="279">
        <v>1200</v>
      </c>
      <c r="BY9" s="277">
        <v>1500</v>
      </c>
      <c r="BZ9" s="279">
        <v>500</v>
      </c>
      <c r="CA9" s="277">
        <v>500</v>
      </c>
      <c r="CB9" s="450"/>
      <c r="CC9" s="450"/>
    </row>
    <row r="10" spans="2:81" ht="15.75" customHeight="1" thickBot="1">
      <c r="B10" s="1360" t="s">
        <v>607</v>
      </c>
      <c r="C10" s="1361"/>
      <c r="D10" s="1361"/>
      <c r="E10" s="1362"/>
      <c r="F10" s="181" t="s">
        <v>42</v>
      </c>
      <c r="G10" s="181" t="s">
        <v>42</v>
      </c>
      <c r="H10" s="181">
        <v>18</v>
      </c>
      <c r="I10" s="181">
        <v>10</v>
      </c>
      <c r="J10" s="310" t="s">
        <v>42</v>
      </c>
      <c r="K10" s="314">
        <v>1000</v>
      </c>
      <c r="L10" s="310" t="s">
        <v>42</v>
      </c>
      <c r="M10" s="314">
        <v>500</v>
      </c>
      <c r="N10" s="38"/>
      <c r="AG10" s="1380" t="s">
        <v>882</v>
      </c>
      <c r="AH10" s="1381"/>
      <c r="AI10" s="1381"/>
      <c r="AJ10" s="1382"/>
      <c r="AK10" s="443" t="s">
        <v>42</v>
      </c>
      <c r="AL10" s="181">
        <v>11.4</v>
      </c>
      <c r="AM10" s="181">
        <v>3.3</v>
      </c>
      <c r="AN10" s="181" t="s">
        <v>42</v>
      </c>
      <c r="AO10" s="181" t="s">
        <v>42</v>
      </c>
      <c r="AP10" s="444">
        <v>100</v>
      </c>
      <c r="AQ10" s="445" t="s">
        <v>42</v>
      </c>
      <c r="AR10" s="444">
        <v>200</v>
      </c>
      <c r="AS10" s="445" t="s">
        <v>42</v>
      </c>
      <c r="BP10" s="1360" t="s">
        <v>607</v>
      </c>
      <c r="BQ10" s="1361"/>
      <c r="BR10" s="1361"/>
      <c r="BS10" s="1362"/>
      <c r="BT10" s="181" t="s">
        <v>42</v>
      </c>
      <c r="BU10" s="181" t="s">
        <v>42</v>
      </c>
      <c r="BV10" s="181">
        <v>18</v>
      </c>
      <c r="BW10" s="181">
        <v>10</v>
      </c>
      <c r="BX10" s="310" t="s">
        <v>42</v>
      </c>
      <c r="BY10" s="314">
        <v>1500</v>
      </c>
      <c r="BZ10" s="310" t="s">
        <v>42</v>
      </c>
      <c r="CA10" s="314">
        <v>500</v>
      </c>
      <c r="CB10" s="450"/>
      <c r="CC10" s="450"/>
    </row>
    <row r="11" spans="2:81" ht="15" customHeight="1">
      <c r="B11" s="304"/>
      <c r="C11" s="291"/>
      <c r="D11" s="291"/>
      <c r="E11" s="291"/>
      <c r="F11" s="305"/>
      <c r="G11" s="305"/>
      <c r="H11" s="305"/>
      <c r="I11" s="305"/>
      <c r="J11" s="306"/>
      <c r="K11" s="306"/>
      <c r="L11" s="306"/>
      <c r="M11" s="307"/>
      <c r="N11" s="38"/>
      <c r="BQ11" s="291"/>
      <c r="BR11" s="291"/>
      <c r="BS11" s="291"/>
      <c r="BT11" s="291"/>
      <c r="BU11" s="305"/>
      <c r="BV11" s="305"/>
      <c r="BW11" s="305"/>
      <c r="BX11" s="305"/>
      <c r="BY11" s="305"/>
      <c r="BZ11" s="450"/>
      <c r="CA11" s="450"/>
      <c r="CB11" s="450"/>
      <c r="CC11" s="450"/>
    </row>
    <row r="12" spans="2:81" ht="15" customHeight="1">
      <c r="BQ12" s="291"/>
      <c r="BR12" s="291"/>
      <c r="BS12" s="291"/>
      <c r="BT12" s="291"/>
      <c r="BU12" s="305"/>
      <c r="BV12" s="305"/>
      <c r="BW12" s="305"/>
      <c r="BX12" s="305"/>
      <c r="BY12" s="305"/>
      <c r="BZ12" s="450"/>
      <c r="CA12" s="450"/>
      <c r="CB12" s="450"/>
      <c r="CC12" s="450"/>
    </row>
    <row r="13" spans="2:81" ht="15.75" customHeight="1">
      <c r="BQ13" s="291"/>
      <c r="BR13" s="291"/>
      <c r="BS13" s="291"/>
      <c r="BT13" s="291"/>
      <c r="BU13" s="305"/>
      <c r="BV13" s="305"/>
      <c r="BW13" s="305"/>
      <c r="BX13" s="305"/>
      <c r="BY13" s="305"/>
      <c r="BZ13" s="450"/>
      <c r="CA13" s="450"/>
      <c r="CB13" s="450"/>
      <c r="CC13" s="450"/>
    </row>
    <row r="15" spans="2:81" ht="16.5" customHeight="1"/>
    <row r="16" spans="2:81" ht="15" customHeight="1"/>
    <row r="17" spans="18:22" ht="15" customHeight="1"/>
    <row r="20" spans="18:22" ht="70">
      <c r="R20" s="1367" t="s">
        <v>369</v>
      </c>
      <c r="S20" s="1368"/>
      <c r="U20" s="318" t="s">
        <v>369</v>
      </c>
      <c r="V20" s="319"/>
    </row>
    <row r="21" spans="18:22" ht="17.25" customHeight="1">
      <c r="R21" s="1358" t="s">
        <v>29</v>
      </c>
      <c r="S21" s="1358" t="s">
        <v>140</v>
      </c>
      <c r="U21" s="320" t="s">
        <v>29</v>
      </c>
      <c r="V21" s="322" t="s">
        <v>140</v>
      </c>
    </row>
    <row r="22" spans="18:22" ht="16.5" customHeight="1">
      <c r="R22" s="1359"/>
      <c r="S22" s="1359"/>
      <c r="U22" s="321"/>
      <c r="V22" s="323"/>
    </row>
    <row r="23" spans="18:22" ht="15" customHeight="1">
      <c r="R23" s="308" t="s">
        <v>42</v>
      </c>
      <c r="S23" s="313">
        <v>500</v>
      </c>
      <c r="U23" s="308" t="s">
        <v>42</v>
      </c>
      <c r="V23" s="313">
        <v>500</v>
      </c>
    </row>
    <row r="24" spans="18:22" ht="15" customHeight="1">
      <c r="R24" s="312" t="s">
        <v>42</v>
      </c>
      <c r="S24" s="313">
        <v>500</v>
      </c>
      <c r="U24" s="312" t="s">
        <v>42</v>
      </c>
      <c r="V24" s="313">
        <v>500</v>
      </c>
    </row>
    <row r="25" spans="18:22" ht="15" thickBot="1">
      <c r="R25" s="311" t="s">
        <v>42</v>
      </c>
      <c r="S25" s="314" t="s">
        <v>42</v>
      </c>
      <c r="U25" s="311" t="s">
        <v>42</v>
      </c>
      <c r="V25" s="314" t="s">
        <v>42</v>
      </c>
    </row>
  </sheetData>
  <mergeCells count="90">
    <mergeCell ref="BI5:BI6"/>
    <mergeCell ref="BJ5:BJ6"/>
    <mergeCell ref="AG7:AJ7"/>
    <mergeCell ref="BP3:CA3"/>
    <mergeCell ref="BP4:BS6"/>
    <mergeCell ref="BT4:BW4"/>
    <mergeCell ref="BX4:BY4"/>
    <mergeCell ref="BZ4:CA4"/>
    <mergeCell ref="BT5:BT6"/>
    <mergeCell ref="BU5:BU6"/>
    <mergeCell ref="BV5:BV6"/>
    <mergeCell ref="BW5:BW6"/>
    <mergeCell ref="BX5:BX6"/>
    <mergeCell ref="BY5:BY6"/>
    <mergeCell ref="BZ5:BZ6"/>
    <mergeCell ref="CA5:CA6"/>
    <mergeCell ref="AG4:AJ5"/>
    <mergeCell ref="AK4:AO4"/>
    <mergeCell ref="AP4:AQ4"/>
    <mergeCell ref="AR4:AS4"/>
    <mergeCell ref="BC5:BC6"/>
    <mergeCell ref="AW7:AZ7"/>
    <mergeCell ref="AW8:AZ8"/>
    <mergeCell ref="BP8:BS8"/>
    <mergeCell ref="AW3:BL3"/>
    <mergeCell ref="AW4:AZ6"/>
    <mergeCell ref="BA4:BD4"/>
    <mergeCell ref="BE4:BJ4"/>
    <mergeCell ref="BK4:BL4"/>
    <mergeCell ref="BA5:BA6"/>
    <mergeCell ref="BB5:BB6"/>
    <mergeCell ref="BP7:BS7"/>
    <mergeCell ref="BD5:BD6"/>
    <mergeCell ref="BE5:BE6"/>
    <mergeCell ref="BF5:BF6"/>
    <mergeCell ref="BG5:BG6"/>
    <mergeCell ref="BH5:BH6"/>
    <mergeCell ref="BP9:BS9"/>
    <mergeCell ref="BP10:BS10"/>
    <mergeCell ref="CB3:CC3"/>
    <mergeCell ref="BK5:BK6"/>
    <mergeCell ref="BL5:BL6"/>
    <mergeCell ref="AG10:AJ10"/>
    <mergeCell ref="B3:M3"/>
    <mergeCell ref="B4:E6"/>
    <mergeCell ref="F4:I4"/>
    <mergeCell ref="J4:K4"/>
    <mergeCell ref="L4:M4"/>
    <mergeCell ref="F5:F6"/>
    <mergeCell ref="G5:G6"/>
    <mergeCell ref="H5:H6"/>
    <mergeCell ref="I5:I6"/>
    <mergeCell ref="J5:J6"/>
    <mergeCell ref="Z5:Z6"/>
    <mergeCell ref="AD5:AD6"/>
    <mergeCell ref="AC4:AD4"/>
    <mergeCell ref="W5:W6"/>
    <mergeCell ref="X5:X6"/>
    <mergeCell ref="R21:R22"/>
    <mergeCell ref="B10:E10"/>
    <mergeCell ref="O4:R6"/>
    <mergeCell ref="S4:V4"/>
    <mergeCell ref="R20:S20"/>
    <mergeCell ref="K5:K6"/>
    <mergeCell ref="L5:L6"/>
    <mergeCell ref="M5:M6"/>
    <mergeCell ref="B7:E7"/>
    <mergeCell ref="B8:E8"/>
    <mergeCell ref="B9:E9"/>
    <mergeCell ref="S21:S22"/>
    <mergeCell ref="S5:S6"/>
    <mergeCell ref="T5:T6"/>
    <mergeCell ref="U5:U6"/>
    <mergeCell ref="V5:V6"/>
    <mergeCell ref="AG8:AJ8"/>
    <mergeCell ref="AG9:AJ9"/>
    <mergeCell ref="O3:AD3"/>
    <mergeCell ref="W4:AB4"/>
    <mergeCell ref="AA5:AA6"/>
    <mergeCell ref="AB5:AB6"/>
    <mergeCell ref="Y9:Z9"/>
    <mergeCell ref="AC5:AC6"/>
    <mergeCell ref="O8:R8"/>
    <mergeCell ref="O9:R9"/>
    <mergeCell ref="W9:X9"/>
    <mergeCell ref="AA9:AB9"/>
    <mergeCell ref="O7:R7"/>
    <mergeCell ref="Y5:Y6"/>
    <mergeCell ref="AG6:AJ6"/>
    <mergeCell ref="AG3:AS3"/>
  </mergeCells>
  <pageMargins left="0.7" right="0.7" top="0.75" bottom="0.75" header="0.3" footer="0.3"/>
  <pageSetup orientation="portrait" r:id="rId1"/>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rgb="FFFF0000"/>
  </sheetPr>
  <dimension ref="A1:EG14"/>
  <sheetViews>
    <sheetView zoomScale="90" zoomScaleNormal="90" workbookViewId="0">
      <selection activeCell="C13" sqref="C13"/>
    </sheetView>
  </sheetViews>
  <sheetFormatPr defaultColWidth="8.81640625" defaultRowHeight="5.15" customHeight="1"/>
  <cols>
    <col min="1" max="1" width="12.453125" bestFit="1" customWidth="1"/>
    <col min="2" max="2" width="5.453125" customWidth="1"/>
    <col min="3" max="3" width="23.54296875" bestFit="1" customWidth="1"/>
    <col min="4" max="4" width="27.54296875" customWidth="1"/>
    <col min="5" max="5" width="35.453125" bestFit="1" customWidth="1"/>
    <col min="6" max="6" width="16.453125" bestFit="1" customWidth="1"/>
    <col min="7" max="7" width="16.453125" customWidth="1"/>
    <col min="8" max="8" width="37.1796875" customWidth="1"/>
    <col min="9" max="13" width="15.81640625" customWidth="1"/>
    <col min="14" max="15" width="13.81640625" customWidth="1"/>
    <col min="16" max="19" width="16" customWidth="1"/>
    <col min="20" max="20" width="17.453125" bestFit="1" customWidth="1"/>
    <col min="21" max="22" width="11.54296875" customWidth="1"/>
    <col min="23" max="23" width="29.453125" bestFit="1" customWidth="1"/>
    <col min="24" max="24" width="21" bestFit="1" customWidth="1"/>
    <col min="25" max="33" width="15.81640625" customWidth="1"/>
    <col min="34" max="34" width="18.26953125" bestFit="1" customWidth="1"/>
    <col min="35" max="36" width="15.81640625" customWidth="1"/>
    <col min="37" max="39" width="13.453125" customWidth="1"/>
    <col min="40" max="40" width="15.453125" bestFit="1" customWidth="1"/>
    <col min="41" max="41" width="13.1796875" customWidth="1"/>
    <col min="44" max="44" width="12.81640625" bestFit="1" customWidth="1"/>
    <col min="45" max="45" width="11.26953125" customWidth="1"/>
    <col min="46" max="46" width="12.81640625" customWidth="1"/>
    <col min="47" max="47" width="14.7265625" bestFit="1" customWidth="1"/>
    <col min="49" max="49" width="10.7265625" customWidth="1"/>
    <col min="50" max="50" width="16.81640625" customWidth="1"/>
    <col min="51" max="51" width="14.453125" customWidth="1"/>
    <col min="52" max="52" width="15.453125" customWidth="1"/>
    <col min="54" max="62" width="12.1796875" customWidth="1"/>
    <col min="65" max="65" width="12.1796875" bestFit="1" customWidth="1"/>
    <col min="66" max="66" width="13.453125" bestFit="1" customWidth="1"/>
    <col min="67" max="69" width="13.453125" customWidth="1"/>
    <col min="70" max="70" width="8" customWidth="1"/>
    <col min="71" max="73" width="9.1796875" customWidth="1"/>
    <col min="74" max="74" width="11" customWidth="1"/>
    <col min="75" max="75" width="11.453125" customWidth="1"/>
    <col min="76" max="77" width="8.1796875" customWidth="1"/>
    <col min="78" max="78" width="11.453125" customWidth="1"/>
    <col min="79" max="80" width="13.453125" customWidth="1"/>
    <col min="81" max="81" width="13.54296875" customWidth="1"/>
    <col min="82" max="82" width="10.54296875" customWidth="1"/>
    <col min="83" max="83" width="10.81640625" customWidth="1"/>
    <col min="84" max="84" width="13" customWidth="1"/>
    <col min="85" max="85" width="16.453125" customWidth="1"/>
    <col min="86" max="86" width="15.54296875" customWidth="1"/>
    <col min="87" max="88" width="11.453125" customWidth="1"/>
    <col min="89" max="89" width="16.54296875" customWidth="1"/>
    <col min="90" max="90" width="20.54296875" bestFit="1" customWidth="1"/>
    <col min="91" max="91" width="16" bestFit="1" customWidth="1"/>
    <col min="92" max="92" width="14" bestFit="1" customWidth="1"/>
    <col min="93" max="93" width="14.453125" bestFit="1" customWidth="1"/>
    <col min="94" max="94" width="9.54296875" bestFit="1" customWidth="1"/>
    <col min="95" max="95" width="11.54296875" bestFit="1" customWidth="1"/>
    <col min="96" max="97" width="19.54296875" customWidth="1"/>
    <col min="98" max="98" width="15.81640625" bestFit="1" customWidth="1"/>
    <col min="109" max="109" width="16.1796875" customWidth="1"/>
    <col min="110" max="110" width="16.7265625" bestFit="1" customWidth="1"/>
    <col min="111" max="111" width="10.7265625" bestFit="1" customWidth="1"/>
    <col min="112" max="112" width="10.81640625" bestFit="1" customWidth="1"/>
    <col min="113" max="113" width="37.7265625" customWidth="1"/>
  </cols>
  <sheetData>
    <row r="1" spans="1:137" s="100" customFormat="1" ht="43.5">
      <c r="A1" s="241" t="s">
        <v>144</v>
      </c>
      <c r="B1" s="241" t="s">
        <v>35</v>
      </c>
      <c r="C1" s="242" t="s">
        <v>33</v>
      </c>
      <c r="D1" s="242" t="s">
        <v>32</v>
      </c>
      <c r="E1" s="242" t="s">
        <v>34</v>
      </c>
      <c r="F1" s="242" t="s">
        <v>145</v>
      </c>
      <c r="G1" s="242" t="s">
        <v>105</v>
      </c>
      <c r="H1" s="243" t="s">
        <v>429</v>
      </c>
      <c r="I1" s="244" t="s">
        <v>651</v>
      </c>
      <c r="J1" s="244" t="s">
        <v>645</v>
      </c>
      <c r="K1" s="233" t="s">
        <v>563</v>
      </c>
      <c r="L1" s="233" t="s">
        <v>378</v>
      </c>
      <c r="M1" s="233" t="s">
        <v>567</v>
      </c>
      <c r="N1" s="244" t="s">
        <v>362</v>
      </c>
      <c r="O1" s="244" t="s">
        <v>665</v>
      </c>
      <c r="P1" s="244" t="s">
        <v>668</v>
      </c>
      <c r="Q1" s="233" t="s">
        <v>564</v>
      </c>
      <c r="R1" s="233" t="s">
        <v>379</v>
      </c>
      <c r="S1" s="233" t="s">
        <v>568</v>
      </c>
      <c r="T1" s="297" t="s">
        <v>146</v>
      </c>
      <c r="U1" s="297" t="s">
        <v>147</v>
      </c>
      <c r="V1" s="297" t="s">
        <v>148</v>
      </c>
      <c r="W1" s="297" t="s">
        <v>149</v>
      </c>
      <c r="X1" s="297" t="s">
        <v>150</v>
      </c>
      <c r="Y1" s="297" t="s">
        <v>666</v>
      </c>
      <c r="Z1" s="297" t="s">
        <v>646</v>
      </c>
      <c r="AA1" s="298" t="s">
        <v>565</v>
      </c>
      <c r="AB1" s="298" t="s">
        <v>380</v>
      </c>
      <c r="AC1" s="298" t="s">
        <v>569</v>
      </c>
      <c r="AD1" s="297" t="s">
        <v>667</v>
      </c>
      <c r="AE1" s="297" t="s">
        <v>647</v>
      </c>
      <c r="AF1" s="298" t="s">
        <v>566</v>
      </c>
      <c r="AG1" s="298" t="s">
        <v>381</v>
      </c>
      <c r="AH1" s="298" t="s">
        <v>570</v>
      </c>
      <c r="AI1" s="298" t="s">
        <v>558</v>
      </c>
      <c r="AJ1" s="298" t="s">
        <v>559</v>
      </c>
      <c r="AK1" s="297" t="s">
        <v>560</v>
      </c>
      <c r="AL1" s="245" t="s">
        <v>669</v>
      </c>
      <c r="AM1" s="234" t="s">
        <v>383</v>
      </c>
      <c r="AN1" s="234" t="s">
        <v>382</v>
      </c>
      <c r="AO1" s="243" t="s">
        <v>430</v>
      </c>
      <c r="AP1" s="247" t="s">
        <v>431</v>
      </c>
      <c r="AQ1" s="247" t="s">
        <v>232</v>
      </c>
      <c r="AR1" s="244" t="s">
        <v>38</v>
      </c>
      <c r="AS1" s="246" t="s">
        <v>432</v>
      </c>
      <c r="AT1" s="244" t="s">
        <v>177</v>
      </c>
      <c r="AU1" s="242" t="s">
        <v>114</v>
      </c>
      <c r="AV1" s="239" t="s">
        <v>433</v>
      </c>
      <c r="AW1" s="240" t="s">
        <v>434</v>
      </c>
      <c r="AX1" s="240" t="s">
        <v>435</v>
      </c>
      <c r="AY1" s="240" t="s">
        <v>436</v>
      </c>
      <c r="AZ1" s="240" t="s">
        <v>437</v>
      </c>
      <c r="BA1" s="240" t="s">
        <v>438</v>
      </c>
      <c r="BB1" s="248" t="s">
        <v>439</v>
      </c>
      <c r="BC1" s="248" t="s">
        <v>440</v>
      </c>
      <c r="BD1" s="248" t="s">
        <v>441</v>
      </c>
      <c r="BE1" s="248" t="s">
        <v>442</v>
      </c>
      <c r="BF1" s="248" t="s">
        <v>443</v>
      </c>
      <c r="BG1" s="248" t="s">
        <v>444</v>
      </c>
      <c r="BH1" s="248" t="s">
        <v>445</v>
      </c>
      <c r="BI1" s="248" t="s">
        <v>446</v>
      </c>
      <c r="BJ1" s="248" t="s">
        <v>447</v>
      </c>
      <c r="BK1" s="249" t="s">
        <v>57</v>
      </c>
      <c r="BL1" s="249" t="s">
        <v>416</v>
      </c>
      <c r="BM1" s="250" t="s">
        <v>36</v>
      </c>
      <c r="BN1" s="250" t="s">
        <v>37</v>
      </c>
      <c r="BO1" s="250" t="s">
        <v>40</v>
      </c>
      <c r="BP1" s="233" t="s">
        <v>415</v>
      </c>
      <c r="BQ1" s="250" t="s">
        <v>313</v>
      </c>
      <c r="BR1" s="250" t="s">
        <v>448</v>
      </c>
      <c r="BS1" s="250" t="s">
        <v>449</v>
      </c>
      <c r="BT1" s="250" t="s">
        <v>450</v>
      </c>
      <c r="BU1" s="250" t="s">
        <v>451</v>
      </c>
      <c r="BV1" s="250" t="s">
        <v>39</v>
      </c>
      <c r="BW1" s="250" t="s">
        <v>41</v>
      </c>
      <c r="BX1" s="250" t="s">
        <v>452</v>
      </c>
      <c r="BY1" s="250" t="s">
        <v>301</v>
      </c>
      <c r="BZ1" s="251" t="s">
        <v>210</v>
      </c>
      <c r="CA1" s="251" t="s">
        <v>376</v>
      </c>
      <c r="CB1" s="251" t="s">
        <v>377</v>
      </c>
      <c r="CC1" s="251" t="s">
        <v>120</v>
      </c>
      <c r="CD1" s="252" t="s">
        <v>121</v>
      </c>
      <c r="CE1" s="251" t="s">
        <v>122</v>
      </c>
      <c r="CF1" s="251" t="s">
        <v>123</v>
      </c>
      <c r="CG1" s="251" t="s">
        <v>124</v>
      </c>
      <c r="CH1" s="251" t="s">
        <v>125</v>
      </c>
      <c r="CI1" s="251" t="s">
        <v>453</v>
      </c>
      <c r="CJ1" s="251" t="s">
        <v>115</v>
      </c>
      <c r="CK1" s="251" t="s">
        <v>112</v>
      </c>
      <c r="CL1" s="251" t="s">
        <v>375</v>
      </c>
      <c r="CM1" s="251" t="s">
        <v>110</v>
      </c>
      <c r="CN1" s="251" t="s">
        <v>111</v>
      </c>
      <c r="CO1" s="251" t="s">
        <v>116</v>
      </c>
      <c r="CP1" s="251" t="s">
        <v>117</v>
      </c>
      <c r="CQ1" s="251" t="s">
        <v>118</v>
      </c>
      <c r="CR1" s="252" t="s">
        <v>214</v>
      </c>
      <c r="CS1" s="252" t="s">
        <v>219</v>
      </c>
      <c r="CT1" s="253" t="s">
        <v>109</v>
      </c>
      <c r="CU1" s="254" t="s">
        <v>454</v>
      </c>
      <c r="CV1" s="254" t="s">
        <v>455</v>
      </c>
      <c r="CW1" s="254" t="s">
        <v>456</v>
      </c>
      <c r="CX1" s="254" t="s">
        <v>457</v>
      </c>
      <c r="CY1" s="254" t="s">
        <v>458</v>
      </c>
      <c r="CZ1" s="254" t="s">
        <v>459</v>
      </c>
      <c r="DA1" s="254" t="s">
        <v>460</v>
      </c>
      <c r="DB1" s="254" t="s">
        <v>461</v>
      </c>
      <c r="DC1" s="254" t="s">
        <v>462</v>
      </c>
      <c r="DD1" s="254" t="s">
        <v>463</v>
      </c>
      <c r="DE1" s="255" t="s">
        <v>464</v>
      </c>
      <c r="DF1" s="254" t="s">
        <v>465</v>
      </c>
      <c r="DG1" s="254" t="s">
        <v>466</v>
      </c>
      <c r="DH1" s="260" t="s">
        <v>511</v>
      </c>
      <c r="DI1" s="261" t="s">
        <v>512</v>
      </c>
      <c r="DJ1" s="261" t="s">
        <v>513</v>
      </c>
      <c r="DK1" s="261" t="s">
        <v>514</v>
      </c>
      <c r="DL1" s="261" t="s">
        <v>515</v>
      </c>
      <c r="DM1" s="261" t="s">
        <v>516</v>
      </c>
      <c r="DN1" s="261" t="s">
        <v>517</v>
      </c>
      <c r="DO1" s="261" t="s">
        <v>518</v>
      </c>
      <c r="DP1" s="261" t="s">
        <v>519</v>
      </c>
      <c r="DQ1" s="261" t="s">
        <v>520</v>
      </c>
      <c r="DR1" s="261" t="s">
        <v>521</v>
      </c>
      <c r="DS1" s="262" t="s">
        <v>522</v>
      </c>
      <c r="DT1" s="262" t="s">
        <v>523</v>
      </c>
      <c r="DU1" s="262" t="s">
        <v>524</v>
      </c>
      <c r="DV1" s="263" t="s">
        <v>525</v>
      </c>
      <c r="DW1" s="264" t="s">
        <v>526</v>
      </c>
      <c r="DX1" s="265" t="s">
        <v>527</v>
      </c>
      <c r="DY1" s="265" t="s">
        <v>528</v>
      </c>
      <c r="DZ1" s="265" t="s">
        <v>529</v>
      </c>
      <c r="EA1" s="266" t="s">
        <v>530</v>
      </c>
      <c r="EB1" s="266" t="s">
        <v>531</v>
      </c>
      <c r="EC1" s="265" t="s">
        <v>532</v>
      </c>
      <c r="ED1" s="267" t="s">
        <v>533</v>
      </c>
      <c r="EE1" s="268" t="s">
        <v>534</v>
      </c>
      <c r="EF1" s="268" t="s">
        <v>535</v>
      </c>
      <c r="EG1" s="100" t="s">
        <v>181</v>
      </c>
    </row>
    <row r="2" spans="1:137" ht="12.75" customHeight="1">
      <c r="A2">
        <v>1</v>
      </c>
      <c r="C2" t="str">
        <f>IF(F2="","",INDEX(References!$Y$100:$Y$104,MATCH(F2,References!$AB$100:$AB$104,0)))</f>
        <v/>
      </c>
      <c r="D2" t="str">
        <f>IF(F2="","",INDEX(References!$Z$100:$Z$104,MATCH(F2,References!$AB$100:$AB$104,0)))</f>
        <v/>
      </c>
      <c r="E2" t="str">
        <f>IF(F2="","",INDEX(References!$AA$100:$AA$104,MATCH(F2,References!$AB$100:$AB$104,0)))</f>
        <v/>
      </c>
      <c r="F2" t="str">
        <f>IF(Qualifying_Index!BB103="","",Qualifying_Index!BB103)</f>
        <v/>
      </c>
      <c r="G2" t="str">
        <f>IF($C2="","",'Customer Information'!$L$45)</f>
        <v/>
      </c>
      <c r="H2" t="str">
        <f>IF($C2="","",'Customer Information'!$L$45)</f>
        <v/>
      </c>
      <c r="I2" t="str">
        <f>IF(C2="","",Qualifying_Index!AV62)</f>
        <v/>
      </c>
      <c r="J2" t="str">
        <f>IF(C2="","",Qualifying_Index!AX62)</f>
        <v/>
      </c>
      <c r="K2" t="str">
        <f>IF(C2="","",Qualifying_Index!AW62)</f>
        <v/>
      </c>
      <c r="L2" t="str">
        <f>IF(C2="","",0)</f>
        <v/>
      </c>
      <c r="M2" t="str">
        <f>IF(C2="","",J2+L2)</f>
        <v/>
      </c>
      <c r="N2" s="101" t="str">
        <f t="shared" ref="N2:N14" si="0">IF(I2="","",1)</f>
        <v/>
      </c>
      <c r="O2" s="151" t="str">
        <f t="shared" ref="O2:O14" si="1">IF(F2="","",I2*N2*T2)</f>
        <v/>
      </c>
      <c r="P2" s="152" t="str">
        <f t="shared" ref="P2:P14" si="2">IF(D2="","",J2*N2)</f>
        <v/>
      </c>
      <c r="Q2" s="152"/>
      <c r="R2" s="152"/>
      <c r="S2" s="152"/>
      <c r="T2" s="101" t="str">
        <f>IF($F2="","",1)</f>
        <v/>
      </c>
      <c r="U2" s="101" t="str">
        <f>IF($F2="","",0)</f>
        <v/>
      </c>
      <c r="V2" s="101" t="str">
        <f>IF($F2="","",0)</f>
        <v/>
      </c>
      <c r="W2" s="101" t="str">
        <f>IF($F2="","",0.085)</f>
        <v/>
      </c>
      <c r="X2" s="101" t="str">
        <f>IF($F2="","",0.06)</f>
        <v/>
      </c>
      <c r="Y2" s="150" t="str">
        <f>IF(F2="","",ROUND((I2*T2)/(1-W2)*(1-U2+V2),References!$AO$6))</f>
        <v/>
      </c>
      <c r="Z2" s="152" t="str">
        <f>IF(F2="","",ROUND(J2/(1-X2)*(1-U2+V2),References!$AO$7))</f>
        <v/>
      </c>
      <c r="AA2" s="152" t="str">
        <f>IF(F2="","",ROUND((K2*T2)/(1-W2)*(1-U2+V2),References!$AO$6))</f>
        <v/>
      </c>
      <c r="AB2" s="152" t="str">
        <f>IF(F2="","",ROUND(L2/(1-X2)*(1-U2+V2),References!$AO$7))</f>
        <v/>
      </c>
      <c r="AC2" s="152" t="str">
        <f t="shared" ref="AC2:AC14" si="3">IF(F2="","",Z2-AB2)</f>
        <v/>
      </c>
      <c r="AD2" s="150" t="str">
        <f t="shared" ref="AD2:AD14" si="4">IF(F2="","",Y2*AU2)</f>
        <v/>
      </c>
      <c r="AE2" s="152" t="str">
        <f t="shared" ref="AE2:AE14" si="5">IF(F2="","",Z2*AU2)</f>
        <v/>
      </c>
      <c r="AF2" s="152" t="str">
        <f t="shared" ref="AF2:AF14" si="6">IF(F2="","",AA2*AU2)</f>
        <v/>
      </c>
      <c r="AG2" s="152" t="str">
        <f t="shared" ref="AG2:AG14" si="7">IF(F2="","",AB2*AU2)</f>
        <v/>
      </c>
      <c r="AH2" s="152" t="str">
        <f t="shared" ref="AH2:AH14" si="8">IF(F2="","",AE2-AG2)</f>
        <v/>
      </c>
      <c r="AI2" s="101"/>
      <c r="AJ2" s="101"/>
      <c r="AK2" s="101"/>
      <c r="AL2" s="101" t="str">
        <f>IF($C2="","",Qualifying_Index!BD62)</f>
        <v/>
      </c>
      <c r="AM2" s="101" t="str">
        <f>IF($C2="","",0)</f>
        <v/>
      </c>
      <c r="AN2" s="101" t="str">
        <f>IF($C2="","",AL2+AM2)</f>
        <v/>
      </c>
      <c r="AO2" s="101" t="str">
        <f>IF($C2="","",Worksheet!D48/SUM($AU$2:$AU$4))</f>
        <v/>
      </c>
      <c r="AP2" s="101"/>
      <c r="AQ2" s="101" t="str">
        <f t="shared" ref="AQ2" si="9">IF($C2="","",AO2+AP2)</f>
        <v/>
      </c>
      <c r="AR2" s="101" t="str">
        <f>IF($C2="","",Worksheet!J48/SUM($AU$2:$AU$4))</f>
        <v/>
      </c>
      <c r="AS2" s="101" t="str">
        <f>IF($C2="","",AR2*AU2)</f>
        <v/>
      </c>
      <c r="AT2" s="101"/>
      <c r="AU2" t="str">
        <f>IF(C2="","",1)</f>
        <v/>
      </c>
    </row>
    <row r="3" spans="1:137" ht="12.75" customHeight="1">
      <c r="A3">
        <v>2</v>
      </c>
      <c r="C3" t="str">
        <f>IF(F3="","",INDEX(References!$Y$100:$Y$104,MATCH(F3,References!$AB$100:$AB$104,0)))</f>
        <v/>
      </c>
      <c r="D3" t="str">
        <f>IF(F3="","",INDEX(References!$Z$100:$Z$104,MATCH(F3,References!$AB$100:$AB$104,0)))</f>
        <v/>
      </c>
      <c r="E3" t="str">
        <f>IF(F3="","",INDEX(References!$AA$100:$AA$104,MATCH(F3,References!$AB$100:$AB$104,0)))</f>
        <v/>
      </c>
      <c r="F3" t="str">
        <f>IF(Qualifying_Index!BB104="","",Qualifying_Index!BB104)</f>
        <v/>
      </c>
      <c r="G3" t="str">
        <f>IF($C3="","",'Customer Information'!$L$45)</f>
        <v/>
      </c>
      <c r="H3" t="str">
        <f>IF($C3="","",'Customer Information'!$L$45)</f>
        <v/>
      </c>
      <c r="I3" t="str">
        <f>IF(C3="","",Qualifying_Index!AV63)</f>
        <v/>
      </c>
      <c r="J3" t="str">
        <f>IF(C3="","",Qualifying_Index!AX63)</f>
        <v/>
      </c>
      <c r="K3" t="str">
        <f>IF(C3="","",Qualifying_Index!AW63)</f>
        <v/>
      </c>
      <c r="L3" t="str">
        <f t="shared" ref="L3:L14" si="10">IF(C3="","",0)</f>
        <v/>
      </c>
      <c r="M3" t="str">
        <f t="shared" ref="M3:M14" si="11">IF(C3="","",J3+L3)</f>
        <v/>
      </c>
      <c r="N3" s="101" t="str">
        <f t="shared" si="0"/>
        <v/>
      </c>
      <c r="O3" s="151" t="str">
        <f t="shared" si="1"/>
        <v/>
      </c>
      <c r="P3" s="152" t="str">
        <f t="shared" si="2"/>
        <v/>
      </c>
      <c r="Q3" s="152"/>
      <c r="R3" s="152"/>
      <c r="S3" s="152"/>
      <c r="T3" s="101" t="str">
        <f t="shared" ref="T3:T14" si="12">IF(F3="","",1)</f>
        <v/>
      </c>
      <c r="U3" s="101" t="str">
        <f t="shared" ref="U3:V14" si="13">IF($F3="","",0)</f>
        <v/>
      </c>
      <c r="V3" s="101" t="str">
        <f t="shared" si="13"/>
        <v/>
      </c>
      <c r="W3" s="101" t="str">
        <f t="shared" ref="W3:W14" si="14">IF($F3="","",0.085)</f>
        <v/>
      </c>
      <c r="X3" s="101" t="str">
        <f t="shared" ref="X3:X14" si="15">IF($F3="","",0.06)</f>
        <v/>
      </c>
      <c r="Y3" s="150" t="str">
        <f>IF(F3="","",ROUND((I3*T3)/(1-W3)*(1-U3+V3),References!$AO$6))</f>
        <v/>
      </c>
      <c r="Z3" s="152" t="str">
        <f>IF(F3="","",ROUND(J3/(1-X3)*(1-U3+V3),References!$AO$7))</f>
        <v/>
      </c>
      <c r="AA3" s="152" t="str">
        <f>IF(F3="","",ROUND((K3*T3)/(1-W3)*(1-U3+V3),References!$AO$6))</f>
        <v/>
      </c>
      <c r="AB3" s="152" t="str">
        <f>IF(F3="","",ROUND(L3/(1-X3)*(1-U3+V3),References!$AO$7))</f>
        <v/>
      </c>
      <c r="AC3" s="152" t="str">
        <f t="shared" si="3"/>
        <v/>
      </c>
      <c r="AD3" s="150" t="str">
        <f t="shared" si="4"/>
        <v/>
      </c>
      <c r="AE3" s="152" t="str">
        <f t="shared" si="5"/>
        <v/>
      </c>
      <c r="AF3" s="152" t="str">
        <f t="shared" si="6"/>
        <v/>
      </c>
      <c r="AG3" s="152" t="str">
        <f t="shared" si="7"/>
        <v/>
      </c>
      <c r="AH3" s="152" t="str">
        <f t="shared" si="8"/>
        <v/>
      </c>
      <c r="AL3" s="101" t="str">
        <f>IF(C3="","",Qualifying_Index!BD63)</f>
        <v/>
      </c>
      <c r="AM3" s="101" t="str">
        <f t="shared" ref="AM3:AM14" si="16">IF($C3="","",0)</f>
        <v/>
      </c>
      <c r="AN3" s="101" t="str">
        <f t="shared" ref="AN3:AN14" si="17">IF($C3="","",AL3+AM3)</f>
        <v/>
      </c>
      <c r="AO3" s="101" t="str">
        <f>IF($C3="","",Worksheet!J47/SUM($AU$2:$AU$4))</f>
        <v/>
      </c>
      <c r="AP3" s="101"/>
      <c r="AQ3" s="101" t="str">
        <f t="shared" ref="AQ3:AQ14" si="18">IF($C3="","",AO3+AP3)</f>
        <v/>
      </c>
      <c r="AR3" s="101" t="str">
        <f>IF($C3="","",Worksheet!J49/SUM($AU$2:$AU$4))</f>
        <v/>
      </c>
      <c r="AS3" s="101" t="str">
        <f t="shared" ref="AS3:AS4" si="19">IF($C3="","",AR3*AU3)</f>
        <v/>
      </c>
      <c r="AU3" t="str">
        <f t="shared" ref="AU3:AU14" si="20">IF(C3="","",1)</f>
        <v/>
      </c>
    </row>
    <row r="4" spans="1:137" ht="12.75" customHeight="1">
      <c r="A4">
        <v>3</v>
      </c>
      <c r="C4" t="str">
        <f>IF(F4="","",INDEX(References!$Y$100:$Y$104,MATCH(F4,References!$AB$100:$AB$104,0)))</f>
        <v/>
      </c>
      <c r="D4" t="str">
        <f>IF(F4="","",INDEX(References!$Z$100:$Z$104,MATCH(F4,References!$AB$100:$AB$104,0)))</f>
        <v/>
      </c>
      <c r="E4" t="str">
        <f>IF(F4="","",INDEX(References!$AA$100:$AA$104,MATCH(F4,References!$AB$100:$AB$104,0)))</f>
        <v/>
      </c>
      <c r="F4" t="str">
        <f>IF(Qualifying_Index!BB105="","",Qualifying_Index!BB105)</f>
        <v/>
      </c>
      <c r="G4" t="str">
        <f>IF($C4="","",'Customer Information'!$L$45)</f>
        <v/>
      </c>
      <c r="H4" t="str">
        <f>IF($C4="","",'Customer Information'!$L$45)</f>
        <v/>
      </c>
      <c r="I4" t="str">
        <f>IF(C4="","",Qualifying_Index!AV64)</f>
        <v/>
      </c>
      <c r="J4" t="str">
        <f>IF(C4="","",Qualifying_Index!AX64)</f>
        <v/>
      </c>
      <c r="K4" t="str">
        <f>IF(C4="","",Qualifying_Index!AW64)</f>
        <v/>
      </c>
      <c r="L4" t="str">
        <f t="shared" si="10"/>
        <v/>
      </c>
      <c r="M4" t="str">
        <f t="shared" si="11"/>
        <v/>
      </c>
      <c r="N4" s="101" t="str">
        <f t="shared" si="0"/>
        <v/>
      </c>
      <c r="O4" s="151" t="str">
        <f t="shared" si="1"/>
        <v/>
      </c>
      <c r="P4" s="152" t="str">
        <f t="shared" si="2"/>
        <v/>
      </c>
      <c r="Q4" s="152"/>
      <c r="R4" s="152"/>
      <c r="S4" s="152"/>
      <c r="T4" s="101" t="str">
        <f t="shared" si="12"/>
        <v/>
      </c>
      <c r="U4" s="101" t="str">
        <f t="shared" si="13"/>
        <v/>
      </c>
      <c r="V4" s="101" t="str">
        <f t="shared" si="13"/>
        <v/>
      </c>
      <c r="W4" s="101" t="str">
        <f t="shared" si="14"/>
        <v/>
      </c>
      <c r="X4" s="101" t="str">
        <f t="shared" si="15"/>
        <v/>
      </c>
      <c r="Y4" s="150" t="str">
        <f>IF(F4="","",ROUND((I4*T4)/(1-W4)*(1-U4+V4),References!$AO$6))</f>
        <v/>
      </c>
      <c r="Z4" s="152" t="str">
        <f>IF(F4="","",ROUND(J4/(1-X4)*(1-U4+V4),References!$AO$7))</f>
        <v/>
      </c>
      <c r="AA4" s="152" t="str">
        <f>IF(F4="","",ROUND((K4*T4)/(1-W4)*(1-U4+V4),References!$AO$6))</f>
        <v/>
      </c>
      <c r="AB4" s="152" t="str">
        <f>IF(F4="","",ROUND(L4/(1-X4)*(1-U4+V4),References!$AO$7))</f>
        <v/>
      </c>
      <c r="AC4" s="152" t="str">
        <f t="shared" si="3"/>
        <v/>
      </c>
      <c r="AD4" s="150" t="str">
        <f t="shared" si="4"/>
        <v/>
      </c>
      <c r="AE4" s="152" t="str">
        <f t="shared" si="5"/>
        <v/>
      </c>
      <c r="AF4" s="152" t="str">
        <f t="shared" si="6"/>
        <v/>
      </c>
      <c r="AG4" s="152" t="str">
        <f t="shared" si="7"/>
        <v/>
      </c>
      <c r="AH4" s="152" t="str">
        <f t="shared" si="8"/>
        <v/>
      </c>
      <c r="AL4" s="101" t="str">
        <f>IF(C4="","",Qualifying_Index!BD64)</f>
        <v/>
      </c>
      <c r="AM4" s="101" t="str">
        <f t="shared" si="16"/>
        <v/>
      </c>
      <c r="AN4" s="101" t="str">
        <f t="shared" si="17"/>
        <v/>
      </c>
      <c r="AO4" s="101" t="str">
        <f>IF($C4="","",Worksheet!J48/SUM($AU$2:$AU$4))</f>
        <v/>
      </c>
      <c r="AP4" s="101"/>
      <c r="AQ4" s="101" t="str">
        <f t="shared" si="18"/>
        <v/>
      </c>
      <c r="AR4" s="101" t="str">
        <f>IF($C4="","",Worksheet!J50/SUM($AU$2:$AU$4))</f>
        <v/>
      </c>
      <c r="AS4" s="101" t="str">
        <f t="shared" si="19"/>
        <v/>
      </c>
      <c r="AU4" t="str">
        <f t="shared" si="20"/>
        <v/>
      </c>
    </row>
    <row r="5" spans="1:137" ht="5.15" customHeight="1">
      <c r="L5" t="str">
        <f t="shared" si="10"/>
        <v/>
      </c>
      <c r="M5" t="str">
        <f t="shared" si="11"/>
        <v/>
      </c>
      <c r="N5" s="101" t="str">
        <f t="shared" si="0"/>
        <v/>
      </c>
      <c r="O5" s="151" t="str">
        <f t="shared" si="1"/>
        <v/>
      </c>
      <c r="P5" s="152" t="str">
        <f t="shared" si="2"/>
        <v/>
      </c>
      <c r="Q5" s="152"/>
      <c r="R5" s="152"/>
      <c r="S5" s="152"/>
      <c r="T5" s="101" t="str">
        <f t="shared" si="12"/>
        <v/>
      </c>
      <c r="U5" s="101" t="str">
        <f t="shared" si="13"/>
        <v/>
      </c>
      <c r="V5" s="101" t="str">
        <f t="shared" si="13"/>
        <v/>
      </c>
      <c r="W5" s="101" t="str">
        <f t="shared" si="14"/>
        <v/>
      </c>
      <c r="X5" s="101" t="str">
        <f t="shared" si="15"/>
        <v/>
      </c>
      <c r="Y5" s="150" t="str">
        <f>IF(F5="","",ROUND((I5*T5)/(1-W5)*(1-U5+V5),References!$AO$6))</f>
        <v/>
      </c>
      <c r="Z5" s="152" t="str">
        <f>IF(F5="","",ROUND(J5/(1-X5)*(1-U5+V5),References!$AO$7))</f>
        <v/>
      </c>
      <c r="AA5" s="152" t="str">
        <f>IF(F5="","",ROUND((K5*T5)/(1-W5)*(1-U5+V5),References!$AO$6))</f>
        <v/>
      </c>
      <c r="AB5" s="152" t="str">
        <f>IF(F5="","",ROUND(L5/(1-X5)*(1-U5+V5),References!$AO$7))</f>
        <v/>
      </c>
      <c r="AC5" s="152" t="str">
        <f t="shared" si="3"/>
        <v/>
      </c>
      <c r="AD5" s="150" t="str">
        <f t="shared" si="4"/>
        <v/>
      </c>
      <c r="AE5" s="152" t="str">
        <f t="shared" si="5"/>
        <v/>
      </c>
      <c r="AF5" s="152" t="str">
        <f t="shared" si="6"/>
        <v/>
      </c>
      <c r="AG5" s="152" t="str">
        <f t="shared" si="7"/>
        <v/>
      </c>
      <c r="AH5" s="152" t="str">
        <f t="shared" si="8"/>
        <v/>
      </c>
      <c r="AL5" s="101" t="str">
        <f>IF(C5="","",Qualifying_Index!BD65)</f>
        <v/>
      </c>
      <c r="AM5" s="101" t="str">
        <f t="shared" si="16"/>
        <v/>
      </c>
      <c r="AN5" s="101" t="str">
        <f t="shared" si="17"/>
        <v/>
      </c>
      <c r="AO5" s="101" t="str">
        <f>IF($C5="","",Worksheet!J49/SUM(AU5:AU7))</f>
        <v/>
      </c>
      <c r="AQ5" s="101" t="str">
        <f t="shared" si="18"/>
        <v/>
      </c>
      <c r="AR5" s="101" t="str">
        <f>IF($C5="","",Worksheet!J51/SUM($AU$2:$AU$4))</f>
        <v/>
      </c>
      <c r="AS5" s="101" t="str">
        <f t="shared" ref="AS5:AS14" si="21">IF($C5="","",AR5*AU5)</f>
        <v/>
      </c>
      <c r="AU5" t="str">
        <f t="shared" si="20"/>
        <v/>
      </c>
    </row>
    <row r="6" spans="1:137" ht="5.15" customHeight="1">
      <c r="L6" t="str">
        <f t="shared" si="10"/>
        <v/>
      </c>
      <c r="M6" t="str">
        <f t="shared" si="11"/>
        <v/>
      </c>
      <c r="N6" s="101" t="str">
        <f t="shared" si="0"/>
        <v/>
      </c>
      <c r="O6" s="151" t="str">
        <f t="shared" si="1"/>
        <v/>
      </c>
      <c r="P6" s="152" t="str">
        <f t="shared" si="2"/>
        <v/>
      </c>
      <c r="Q6" s="152"/>
      <c r="R6" s="152"/>
      <c r="S6" s="152"/>
      <c r="T6" s="101" t="str">
        <f t="shared" si="12"/>
        <v/>
      </c>
      <c r="U6" s="101" t="str">
        <f t="shared" si="13"/>
        <v/>
      </c>
      <c r="V6" s="101" t="str">
        <f t="shared" si="13"/>
        <v/>
      </c>
      <c r="W6" s="101" t="str">
        <f t="shared" si="14"/>
        <v/>
      </c>
      <c r="X6" s="101" t="str">
        <f t="shared" si="15"/>
        <v/>
      </c>
      <c r="Y6" s="150" t="str">
        <f>IF(F6="","",ROUND((I6*T6)/(1-W6)*(1-U6+V6),References!$AO$6))</f>
        <v/>
      </c>
      <c r="Z6" s="152" t="str">
        <f>IF(F6="","",ROUND(J6/(1-X6)*(1-U6+V6),References!$AO$7))</f>
        <v/>
      </c>
      <c r="AA6" s="152" t="str">
        <f>IF(F6="","",ROUND((K6*T6)/(1-W6)*(1-U6+V6),References!$AO$6))</f>
        <v/>
      </c>
      <c r="AB6" s="152" t="str">
        <f>IF(F6="","",ROUND(L6/(1-X6)*(1-U6+V6),References!$AO$7))</f>
        <v/>
      </c>
      <c r="AC6" s="152" t="str">
        <f t="shared" si="3"/>
        <v/>
      </c>
      <c r="AD6" s="150" t="str">
        <f t="shared" si="4"/>
        <v/>
      </c>
      <c r="AE6" s="152" t="str">
        <f t="shared" si="5"/>
        <v/>
      </c>
      <c r="AF6" s="152" t="str">
        <f t="shared" si="6"/>
        <v/>
      </c>
      <c r="AG6" s="152" t="str">
        <f t="shared" si="7"/>
        <v/>
      </c>
      <c r="AH6" s="152" t="str">
        <f t="shared" si="8"/>
        <v/>
      </c>
      <c r="AL6" s="101" t="str">
        <f>IF(C6="","",Qualifying_Index!BD66)</f>
        <v/>
      </c>
      <c r="AM6" s="101" t="str">
        <f t="shared" si="16"/>
        <v/>
      </c>
      <c r="AN6" s="101" t="str">
        <f t="shared" si="17"/>
        <v/>
      </c>
      <c r="AO6" s="101" t="str">
        <f>IF($C6="","",Worksheet!J50/SUM(AU6:AU8))</f>
        <v/>
      </c>
      <c r="AQ6" s="101" t="str">
        <f t="shared" si="18"/>
        <v/>
      </c>
      <c r="AR6" s="101" t="str">
        <f>IF($C6="","",Worksheet!J52/SUM($AU$2:$AU$4))</f>
        <v/>
      </c>
      <c r="AS6" s="101" t="str">
        <f t="shared" si="21"/>
        <v/>
      </c>
      <c r="AU6" t="str">
        <f t="shared" si="20"/>
        <v/>
      </c>
    </row>
    <row r="7" spans="1:137" ht="5.15" customHeight="1">
      <c r="L7" t="str">
        <f t="shared" si="10"/>
        <v/>
      </c>
      <c r="M7" t="str">
        <f t="shared" si="11"/>
        <v/>
      </c>
      <c r="N7" s="101" t="str">
        <f t="shared" si="0"/>
        <v/>
      </c>
      <c r="O7" s="151" t="str">
        <f t="shared" si="1"/>
        <v/>
      </c>
      <c r="P7" s="152" t="str">
        <f t="shared" si="2"/>
        <v/>
      </c>
      <c r="Q7" s="152"/>
      <c r="R7" s="152"/>
      <c r="S7" s="152"/>
      <c r="T7" s="101" t="str">
        <f t="shared" si="12"/>
        <v/>
      </c>
      <c r="U7" s="101" t="str">
        <f t="shared" si="13"/>
        <v/>
      </c>
      <c r="V7" s="101" t="str">
        <f t="shared" si="13"/>
        <v/>
      </c>
      <c r="W7" s="101" t="str">
        <f t="shared" si="14"/>
        <v/>
      </c>
      <c r="X7" s="101" t="str">
        <f t="shared" si="15"/>
        <v/>
      </c>
      <c r="Y7" s="150" t="str">
        <f>IF(F7="","",ROUND((I7*T7)/(1-W7)*(1-U7+V7),References!$AO$6))</f>
        <v/>
      </c>
      <c r="Z7" s="152" t="str">
        <f>IF(F7="","",ROUND(J7/(1-X7)*(1-U7+V7),References!$AO$7))</f>
        <v/>
      </c>
      <c r="AA7" s="152" t="str">
        <f>IF(F7="","",ROUND((K7*T7)/(1-W7)*(1-U7+V7),References!$AO$6))</f>
        <v/>
      </c>
      <c r="AB7" s="152" t="str">
        <f>IF(F7="","",ROUND(L7/(1-X7)*(1-U7+V7),References!$AO$7))</f>
        <v/>
      </c>
      <c r="AC7" s="152" t="str">
        <f t="shared" si="3"/>
        <v/>
      </c>
      <c r="AD7" s="150" t="str">
        <f t="shared" si="4"/>
        <v/>
      </c>
      <c r="AE7" s="152" t="str">
        <f t="shared" si="5"/>
        <v/>
      </c>
      <c r="AF7" s="152" t="str">
        <f t="shared" si="6"/>
        <v/>
      </c>
      <c r="AG7" s="152" t="str">
        <f t="shared" si="7"/>
        <v/>
      </c>
      <c r="AH7" s="152" t="str">
        <f t="shared" si="8"/>
        <v/>
      </c>
      <c r="AL7" s="101" t="str">
        <f>IF(C7="","",Qualifying_Index!BD67)</f>
        <v/>
      </c>
      <c r="AM7" s="101" t="str">
        <f t="shared" si="16"/>
        <v/>
      </c>
      <c r="AN7" s="101" t="str">
        <f t="shared" si="17"/>
        <v/>
      </c>
      <c r="AO7" s="101" t="str">
        <f>IF($C7="","",Worksheet!J51/SUM(AU7:AU9))</f>
        <v/>
      </c>
      <c r="AQ7" s="101" t="str">
        <f t="shared" si="18"/>
        <v/>
      </c>
      <c r="AR7" s="101" t="str">
        <f>IF($C7="","",Worksheet!J53/SUM($AU$2:$AU$4))</f>
        <v/>
      </c>
      <c r="AS7" s="101" t="str">
        <f t="shared" si="21"/>
        <v/>
      </c>
      <c r="AU7" t="str">
        <f t="shared" si="20"/>
        <v/>
      </c>
    </row>
    <row r="8" spans="1:137" ht="12.75" customHeight="1">
      <c r="A8">
        <v>1</v>
      </c>
      <c r="C8" t="e">
        <f>IF(F8="","",INDEX(References!$AY$108:$AY$123,MATCH(F8,References!$AW$108:$AW$123,0)))</f>
        <v>#REF!</v>
      </c>
      <c r="D8" t="e">
        <f>IF(F8="","",INDEX(References!$AX$108:$AX$123,MATCH(F8,References!$AW$108:$AW$123,0)))</f>
        <v>#REF!</v>
      </c>
      <c r="E8" t="e">
        <f>IF(F8="","",INDEX(References!$AZ$108:$AZ$123,MATCH(F8,References!$AW$108:$AW$123,0)))</f>
        <v>#REF!</v>
      </c>
      <c r="F8" t="e">
        <f>IF(Qualifying_Index!AU72="","",Qualifying_Index!AU72)</f>
        <v>#REF!</v>
      </c>
      <c r="I8" t="e">
        <f>IF(C8="","",Qualifying_Index!AV72)</f>
        <v>#REF!</v>
      </c>
      <c r="J8" t="e">
        <f>IF(C8="","",Qualifying_Index!AX72)</f>
        <v>#REF!</v>
      </c>
      <c r="K8" t="e">
        <f>IF(C8="","",Qualifying_Index!AW72)</f>
        <v>#REF!</v>
      </c>
      <c r="L8" t="e">
        <f t="shared" si="10"/>
        <v>#REF!</v>
      </c>
      <c r="M8" t="e">
        <f t="shared" si="11"/>
        <v>#REF!</v>
      </c>
      <c r="N8" s="101" t="e">
        <f t="shared" si="0"/>
        <v>#REF!</v>
      </c>
      <c r="O8" s="151" t="e">
        <f t="shared" si="1"/>
        <v>#REF!</v>
      </c>
      <c r="P8" s="152" t="e">
        <f t="shared" si="2"/>
        <v>#REF!</v>
      </c>
      <c r="Q8" s="152"/>
      <c r="R8" s="152"/>
      <c r="S8" s="152"/>
      <c r="T8" s="101" t="e">
        <f t="shared" si="12"/>
        <v>#REF!</v>
      </c>
      <c r="U8" s="101" t="e">
        <f t="shared" si="13"/>
        <v>#REF!</v>
      </c>
      <c r="V8" s="101" t="e">
        <f t="shared" si="13"/>
        <v>#REF!</v>
      </c>
      <c r="W8" s="101" t="e">
        <f t="shared" si="14"/>
        <v>#REF!</v>
      </c>
      <c r="X8" s="101" t="e">
        <f t="shared" si="15"/>
        <v>#REF!</v>
      </c>
      <c r="Y8" s="150" t="e">
        <f>IF(F8="","",ROUND((I8*T8)/(1-W8)*(1-U8+V8),References!$AO$6))</f>
        <v>#REF!</v>
      </c>
      <c r="Z8" s="152" t="e">
        <f>IF(F8="","",ROUND(J8/(1-X8)*(1-U8+V8),References!$AO$7))</f>
        <v>#REF!</v>
      </c>
      <c r="AA8" s="152" t="e">
        <f>IF(F8="","",ROUND((K8*T8)/(1-W8)*(1-U8+V8),References!$AO$6))</f>
        <v>#REF!</v>
      </c>
      <c r="AB8" s="152" t="e">
        <f>IF(F8="","",ROUND(L8/(1-X8)*(1-U8+V8),References!$AO$7))</f>
        <v>#REF!</v>
      </c>
      <c r="AC8" s="152" t="e">
        <f t="shared" si="3"/>
        <v>#REF!</v>
      </c>
      <c r="AD8" s="150" t="e">
        <f t="shared" si="4"/>
        <v>#REF!</v>
      </c>
      <c r="AE8" s="152" t="e">
        <f t="shared" si="5"/>
        <v>#REF!</v>
      </c>
      <c r="AF8" s="152" t="e">
        <f t="shared" si="6"/>
        <v>#REF!</v>
      </c>
      <c r="AG8" s="152" t="e">
        <f t="shared" si="7"/>
        <v>#REF!</v>
      </c>
      <c r="AH8" s="152" t="e">
        <f t="shared" si="8"/>
        <v>#REF!</v>
      </c>
      <c r="AL8" s="101" t="e">
        <f>IF(C8="","",Qualifying_Index!BA72)</f>
        <v>#REF!</v>
      </c>
      <c r="AM8" s="101" t="e">
        <f t="shared" si="16"/>
        <v>#REF!</v>
      </c>
      <c r="AN8" s="101" t="e">
        <f t="shared" si="17"/>
        <v>#REF!</v>
      </c>
      <c r="AO8" s="101" t="e">
        <f>IF($C8="","",Worksheet!D87)</f>
        <v>#REF!</v>
      </c>
      <c r="AQ8" s="101" t="e">
        <f t="shared" si="18"/>
        <v>#REF!</v>
      </c>
      <c r="AR8" s="101" t="e">
        <f>IF($C8="","",Worksheet!J87)</f>
        <v>#REF!</v>
      </c>
      <c r="AS8" s="101" t="e">
        <f t="shared" si="21"/>
        <v>#REF!</v>
      </c>
      <c r="AU8" t="e">
        <f t="shared" si="20"/>
        <v>#REF!</v>
      </c>
    </row>
    <row r="9" spans="1:137" ht="5.15" customHeight="1">
      <c r="L9" t="str">
        <f t="shared" si="10"/>
        <v/>
      </c>
      <c r="M9" t="str">
        <f t="shared" si="11"/>
        <v/>
      </c>
      <c r="N9" s="101" t="str">
        <f t="shared" si="0"/>
        <v/>
      </c>
      <c r="O9" s="151" t="str">
        <f t="shared" si="1"/>
        <v/>
      </c>
      <c r="P9" s="152" t="str">
        <f t="shared" si="2"/>
        <v/>
      </c>
      <c r="Q9" s="152"/>
      <c r="R9" s="152"/>
      <c r="S9" s="152"/>
      <c r="T9" s="101" t="str">
        <f t="shared" si="12"/>
        <v/>
      </c>
      <c r="U9" s="101" t="str">
        <f t="shared" si="13"/>
        <v/>
      </c>
      <c r="V9" s="101" t="str">
        <f t="shared" si="13"/>
        <v/>
      </c>
      <c r="W9" s="101" t="str">
        <f t="shared" si="14"/>
        <v/>
      </c>
      <c r="X9" s="101" t="str">
        <f t="shared" si="15"/>
        <v/>
      </c>
      <c r="Y9" s="150" t="str">
        <f>IF(F9="","",ROUND((I9*T9)/(1-W9)*(1-U9+V9),References!$AO$6))</f>
        <v/>
      </c>
      <c r="Z9" s="152" t="str">
        <f>IF(F9="","",ROUND(J9/(1-X9)*(1-U9+V9),References!$AO$7))</f>
        <v/>
      </c>
      <c r="AA9" s="152" t="str">
        <f>IF(F9="","",ROUND((K9*T9)/(1-W9)*(1-U9+V9),References!$AO$6))</f>
        <v/>
      </c>
      <c r="AB9" s="152" t="str">
        <f>IF(F9="","",ROUND(L9/(1-X9)*(1-U9+V9),References!$AO$7))</f>
        <v/>
      </c>
      <c r="AC9" s="152" t="str">
        <f t="shared" si="3"/>
        <v/>
      </c>
      <c r="AD9" s="150" t="str">
        <f t="shared" si="4"/>
        <v/>
      </c>
      <c r="AE9" s="152" t="str">
        <f t="shared" si="5"/>
        <v/>
      </c>
      <c r="AF9" s="152" t="str">
        <f t="shared" si="6"/>
        <v/>
      </c>
      <c r="AG9" s="152" t="str">
        <f t="shared" si="7"/>
        <v/>
      </c>
      <c r="AH9" s="152" t="str">
        <f t="shared" si="8"/>
        <v/>
      </c>
      <c r="AL9" s="101" t="str">
        <f>IF(C9="","",Qualifying_Index!BD69)</f>
        <v/>
      </c>
      <c r="AM9" s="101" t="str">
        <f t="shared" si="16"/>
        <v/>
      </c>
      <c r="AN9" s="101" t="str">
        <f t="shared" si="17"/>
        <v/>
      </c>
      <c r="AO9" s="101" t="str">
        <f>IF($C9="","",Worksheet!J82)</f>
        <v/>
      </c>
      <c r="AQ9" s="101" t="str">
        <f t="shared" si="18"/>
        <v/>
      </c>
      <c r="AR9" s="101" t="str">
        <f>IF($C9="","",Worksheet!J55/SUM($AU$2:$AU$4))</f>
        <v/>
      </c>
      <c r="AS9" s="101" t="str">
        <f t="shared" si="21"/>
        <v/>
      </c>
      <c r="AU9" t="str">
        <f t="shared" si="20"/>
        <v/>
      </c>
    </row>
    <row r="10" spans="1:137" ht="12.75" customHeight="1">
      <c r="A10">
        <v>1</v>
      </c>
      <c r="C10" t="e">
        <f>IF(F10="","",INDEX(References!$AY$108:$AY$123,MATCH(F10,References!$AW$108:$AW$123,0)))</f>
        <v>#REF!</v>
      </c>
      <c r="D10" t="e">
        <f>IF(F10="","",INDEX(References!$AX$108:$AX$123,MATCH(F10,References!$AW$108:$AW$123,0)))</f>
        <v>#REF!</v>
      </c>
      <c r="E10" t="e">
        <f>IF(F10="","",INDEX(References!$AZ$108:$AZ$123,MATCH(F10,References!$AW$108:$AW$123,0)))</f>
        <v>#REF!</v>
      </c>
      <c r="F10" t="e">
        <f>IF(Qualifying_Index!BJ78="","",Qualifying_Index!BJ78)</f>
        <v>#REF!</v>
      </c>
      <c r="I10" t="e">
        <f>IF(C10="","",Qualifying_Index!BK78)</f>
        <v>#REF!</v>
      </c>
      <c r="J10" t="e">
        <f>IF(D10="","",Qualifying_Index!BM78)</f>
        <v>#REF!</v>
      </c>
      <c r="K10" t="e">
        <f>IF(E10="","",Qualifying_Index!BL78)</f>
        <v>#REF!</v>
      </c>
      <c r="L10" t="e">
        <f t="shared" si="10"/>
        <v>#REF!</v>
      </c>
      <c r="M10" t="e">
        <f t="shared" si="11"/>
        <v>#REF!</v>
      </c>
      <c r="N10" s="101" t="e">
        <f t="shared" si="0"/>
        <v>#REF!</v>
      </c>
      <c r="O10" s="151" t="e">
        <f t="shared" si="1"/>
        <v>#REF!</v>
      </c>
      <c r="P10" s="152" t="e">
        <f t="shared" si="2"/>
        <v>#REF!</v>
      </c>
      <c r="Q10" s="152"/>
      <c r="R10" s="152"/>
      <c r="S10" s="152"/>
      <c r="T10" s="101" t="e">
        <f t="shared" si="12"/>
        <v>#REF!</v>
      </c>
      <c r="U10" s="101" t="e">
        <f t="shared" si="13"/>
        <v>#REF!</v>
      </c>
      <c r="V10" s="101" t="e">
        <f t="shared" si="13"/>
        <v>#REF!</v>
      </c>
      <c r="W10" s="101" t="e">
        <f t="shared" si="14"/>
        <v>#REF!</v>
      </c>
      <c r="X10" s="101" t="e">
        <f t="shared" si="15"/>
        <v>#REF!</v>
      </c>
      <c r="Y10" s="150" t="e">
        <f>IF(F10="","",ROUND((I10*T10)/(1-W10)*(1-U10+V10),References!$AO$6))</f>
        <v>#REF!</v>
      </c>
      <c r="Z10" s="152" t="e">
        <f>IF(F10="","",ROUND(J10/(1-X10)*(1-U10+V10),References!$AO$7))</f>
        <v>#REF!</v>
      </c>
      <c r="AA10" s="152" t="e">
        <f>IF(F10="","",ROUND((K10*T10)/(1-W10)*(1-U10+V10),References!$AO$6))</f>
        <v>#REF!</v>
      </c>
      <c r="AB10" s="152" t="e">
        <f>IF(F10="","",ROUND(L10/(1-X10)*(1-U10+V10),References!$AO$7))</f>
        <v>#REF!</v>
      </c>
      <c r="AC10" s="152" t="e">
        <f t="shared" si="3"/>
        <v>#REF!</v>
      </c>
      <c r="AD10" s="150" t="e">
        <f t="shared" si="4"/>
        <v>#REF!</v>
      </c>
      <c r="AE10" s="152" t="e">
        <f t="shared" si="5"/>
        <v>#REF!</v>
      </c>
      <c r="AF10" s="152" t="e">
        <f t="shared" si="6"/>
        <v>#REF!</v>
      </c>
      <c r="AG10" s="152" t="e">
        <f t="shared" si="7"/>
        <v>#REF!</v>
      </c>
      <c r="AH10" s="152" t="e">
        <f t="shared" si="8"/>
        <v>#REF!</v>
      </c>
      <c r="AL10" s="101" t="e">
        <f>IF(C10="","",Qualifying_Index!BP78)</f>
        <v>#REF!</v>
      </c>
      <c r="AM10" s="101" t="e">
        <f t="shared" si="16"/>
        <v>#REF!</v>
      </c>
      <c r="AN10" s="101" t="e">
        <f t="shared" si="17"/>
        <v>#REF!</v>
      </c>
      <c r="AO10" s="101" t="e">
        <f>IF($C10="","",Worksheet!D107/SUM($AU$10:$AU$14))</f>
        <v>#REF!</v>
      </c>
      <c r="AQ10" s="101" t="e">
        <f t="shared" si="18"/>
        <v>#REF!</v>
      </c>
      <c r="AR10" s="101" t="e">
        <f>IF($C10="","",Worksheet!J107/SUM($AU$10:$AU$14))</f>
        <v>#REF!</v>
      </c>
      <c r="AS10" s="101" t="e">
        <f t="shared" si="21"/>
        <v>#REF!</v>
      </c>
      <c r="AU10" t="e">
        <f t="shared" si="20"/>
        <v>#REF!</v>
      </c>
    </row>
    <row r="11" spans="1:137" ht="12.75" customHeight="1">
      <c r="A11">
        <v>2</v>
      </c>
      <c r="C11" t="e">
        <f>IF(F11="","",INDEX(References!$AY$108:$AY$123,MATCH(F11,References!$AW$108:$AW$123,0)))</f>
        <v>#REF!</v>
      </c>
      <c r="D11" t="e">
        <f>IF(F11="","",INDEX(References!$AX$108:$AX$123,MATCH(F11,References!$AW$108:$AW$123,0)))</f>
        <v>#REF!</v>
      </c>
      <c r="E11" t="e">
        <f>IF(F11="","",INDEX(References!$AZ$108:$AZ$123,MATCH(F11,References!$AW$108:$AW$123,0)))</f>
        <v>#REF!</v>
      </c>
      <c r="F11" t="e">
        <f>IF(Qualifying_Index!BJ79="","",Qualifying_Index!BJ79)</f>
        <v>#REF!</v>
      </c>
      <c r="I11" t="e">
        <f>IF(C11="","",Qualifying_Index!BK79)</f>
        <v>#REF!</v>
      </c>
      <c r="J11" t="e">
        <f>IF(D11="","",Qualifying_Index!BM79)</f>
        <v>#REF!</v>
      </c>
      <c r="K11" t="e">
        <f>IF(E11="","",Qualifying_Index!BL79)</f>
        <v>#REF!</v>
      </c>
      <c r="L11" t="e">
        <f t="shared" si="10"/>
        <v>#REF!</v>
      </c>
      <c r="M11" t="e">
        <f t="shared" si="11"/>
        <v>#REF!</v>
      </c>
      <c r="N11" s="101" t="e">
        <f t="shared" si="0"/>
        <v>#REF!</v>
      </c>
      <c r="O11" s="151" t="e">
        <f t="shared" si="1"/>
        <v>#REF!</v>
      </c>
      <c r="P11" s="152" t="e">
        <f t="shared" si="2"/>
        <v>#REF!</v>
      </c>
      <c r="Q11" s="152"/>
      <c r="R11" s="152"/>
      <c r="S11" s="152"/>
      <c r="T11" s="101" t="e">
        <f t="shared" si="12"/>
        <v>#REF!</v>
      </c>
      <c r="U11" s="101" t="e">
        <f t="shared" si="13"/>
        <v>#REF!</v>
      </c>
      <c r="V11" s="101" t="e">
        <f t="shared" si="13"/>
        <v>#REF!</v>
      </c>
      <c r="W11" s="101" t="e">
        <f t="shared" si="14"/>
        <v>#REF!</v>
      </c>
      <c r="X11" s="101" t="e">
        <f t="shared" si="15"/>
        <v>#REF!</v>
      </c>
      <c r="Y11" s="150" t="e">
        <f>IF(F11="","",ROUND((I11*T11)/(1-W11)*(1-U11+V11),References!$AO$6))</f>
        <v>#REF!</v>
      </c>
      <c r="Z11" s="152" t="e">
        <f>IF(F11="","",ROUND(J11/(1-X11)*(1-U11+V11),References!$AO$7))</f>
        <v>#REF!</v>
      </c>
      <c r="AA11" s="152" t="e">
        <f>IF(F11="","",ROUND((K11*T11)/(1-W11)*(1-U11+V11),References!$AO$6))</f>
        <v>#REF!</v>
      </c>
      <c r="AB11" s="152" t="e">
        <f>IF(F11="","",ROUND(L11/(1-X11)*(1-U11+V11),References!$AO$7))</f>
        <v>#REF!</v>
      </c>
      <c r="AC11" s="152" t="e">
        <f t="shared" si="3"/>
        <v>#REF!</v>
      </c>
      <c r="AD11" s="150" t="e">
        <f t="shared" si="4"/>
        <v>#REF!</v>
      </c>
      <c r="AE11" s="152" t="e">
        <f t="shared" si="5"/>
        <v>#REF!</v>
      </c>
      <c r="AF11" s="152" t="e">
        <f t="shared" si="6"/>
        <v>#REF!</v>
      </c>
      <c r="AG11" s="152" t="e">
        <f t="shared" si="7"/>
        <v>#REF!</v>
      </c>
      <c r="AH11" s="152" t="e">
        <f t="shared" si="8"/>
        <v>#REF!</v>
      </c>
      <c r="AL11" s="101" t="e">
        <f>IF(C11="","",Qualifying_Index!BP79)</f>
        <v>#REF!</v>
      </c>
      <c r="AM11" s="101" t="e">
        <f t="shared" si="16"/>
        <v>#REF!</v>
      </c>
      <c r="AN11" s="101" t="e">
        <f t="shared" si="17"/>
        <v>#REF!</v>
      </c>
      <c r="AO11" s="101" t="e">
        <f>IF($C11="","",Worksheet!J103/SUM($AU$10:$AU$14))</f>
        <v>#REF!</v>
      </c>
      <c r="AQ11" s="101" t="e">
        <f t="shared" si="18"/>
        <v>#REF!</v>
      </c>
      <c r="AR11" s="101" t="e">
        <f>IF($C11="","",Worksheet!#REF!/SUM($AU$10:$AU$14))</f>
        <v>#REF!</v>
      </c>
      <c r="AS11" s="101" t="e">
        <f t="shared" si="21"/>
        <v>#REF!</v>
      </c>
      <c r="AU11" t="e">
        <f t="shared" si="20"/>
        <v>#REF!</v>
      </c>
    </row>
    <row r="12" spans="1:137" ht="12.75" customHeight="1">
      <c r="A12">
        <v>3</v>
      </c>
      <c r="C12" t="e">
        <f>IF(F12="","",INDEX(References!$AY$108:$AY$123,MATCH(F12,References!$AW$108:$AW$123,0)))</f>
        <v>#REF!</v>
      </c>
      <c r="D12" t="e">
        <f>IF(F12="","",INDEX(References!$AX$108:$AX$123,MATCH(F12,References!$AW$108:$AW$123,0)))</f>
        <v>#REF!</v>
      </c>
      <c r="E12" t="e">
        <f>IF(F12="","",INDEX(References!$AZ$108:$AZ$123,MATCH(F12,References!$AW$108:$AW$123,0)))</f>
        <v>#REF!</v>
      </c>
      <c r="F12" t="e">
        <f>IF(Qualifying_Index!BJ80="","",Qualifying_Index!BJ80)</f>
        <v>#REF!</v>
      </c>
      <c r="I12" t="e">
        <f>IF(C12="","",Qualifying_Index!BK80)</f>
        <v>#REF!</v>
      </c>
      <c r="J12" t="e">
        <f>IF(D12="","",Qualifying_Index!BM80)</f>
        <v>#REF!</v>
      </c>
      <c r="K12" t="e">
        <f>IF(E12="","",Qualifying_Index!BL80)</f>
        <v>#REF!</v>
      </c>
      <c r="L12" t="e">
        <f t="shared" si="10"/>
        <v>#REF!</v>
      </c>
      <c r="M12" t="e">
        <f t="shared" si="11"/>
        <v>#REF!</v>
      </c>
      <c r="N12" s="101" t="e">
        <f t="shared" si="0"/>
        <v>#REF!</v>
      </c>
      <c r="O12" s="151" t="e">
        <f t="shared" si="1"/>
        <v>#REF!</v>
      </c>
      <c r="P12" s="152" t="e">
        <f t="shared" si="2"/>
        <v>#REF!</v>
      </c>
      <c r="Q12" s="152"/>
      <c r="R12" s="152"/>
      <c r="S12" s="152"/>
      <c r="T12" s="101" t="e">
        <f t="shared" si="12"/>
        <v>#REF!</v>
      </c>
      <c r="U12" s="101" t="e">
        <f t="shared" si="13"/>
        <v>#REF!</v>
      </c>
      <c r="V12" s="101" t="e">
        <f t="shared" si="13"/>
        <v>#REF!</v>
      </c>
      <c r="W12" s="101" t="e">
        <f t="shared" si="14"/>
        <v>#REF!</v>
      </c>
      <c r="X12" s="101" t="e">
        <f t="shared" si="15"/>
        <v>#REF!</v>
      </c>
      <c r="Y12" s="150" t="e">
        <f>IF(F12="","",ROUND((I12*T12)/(1-W12)*(1-U12+V12),References!$AO$6))</f>
        <v>#REF!</v>
      </c>
      <c r="Z12" s="152" t="e">
        <f>IF(F12="","",ROUND(J12/(1-X12)*(1-U12+V12),References!$AO$7))</f>
        <v>#REF!</v>
      </c>
      <c r="AA12" s="152" t="e">
        <f>IF(F12="","",ROUND((K12*T12)/(1-W12)*(1-U12+V12),References!$AO$6))</f>
        <v>#REF!</v>
      </c>
      <c r="AB12" s="152" t="e">
        <f>IF(F12="","",ROUND(L12/(1-X12)*(1-U12+V12),References!$AO$7))</f>
        <v>#REF!</v>
      </c>
      <c r="AC12" s="152" t="e">
        <f t="shared" si="3"/>
        <v>#REF!</v>
      </c>
      <c r="AD12" s="150" t="e">
        <f t="shared" si="4"/>
        <v>#REF!</v>
      </c>
      <c r="AE12" s="152" t="e">
        <f t="shared" si="5"/>
        <v>#REF!</v>
      </c>
      <c r="AF12" s="152" t="e">
        <f t="shared" si="6"/>
        <v>#REF!</v>
      </c>
      <c r="AG12" s="152" t="e">
        <f t="shared" si="7"/>
        <v>#REF!</v>
      </c>
      <c r="AH12" s="152" t="e">
        <f t="shared" si="8"/>
        <v>#REF!</v>
      </c>
      <c r="AL12" s="101" t="e">
        <f>IF(C12="","",Qualifying_Index!BP80)</f>
        <v>#REF!</v>
      </c>
      <c r="AM12" s="101" t="e">
        <f t="shared" si="16"/>
        <v>#REF!</v>
      </c>
      <c r="AN12" s="101" t="e">
        <f t="shared" si="17"/>
        <v>#REF!</v>
      </c>
      <c r="AO12" s="101" t="e">
        <f>IF($C12="","",Worksheet!J107/SUM($AU$10:$AU$14))</f>
        <v>#REF!</v>
      </c>
      <c r="AQ12" s="101" t="e">
        <f t="shared" si="18"/>
        <v>#REF!</v>
      </c>
      <c r="AR12" s="101" t="e">
        <f>IF($C12="","",Worksheet!J108/SUM($AU$10:$AU$14))</f>
        <v>#REF!</v>
      </c>
      <c r="AS12" s="101" t="e">
        <f t="shared" si="21"/>
        <v>#REF!</v>
      </c>
      <c r="AU12" t="e">
        <f t="shared" si="20"/>
        <v>#REF!</v>
      </c>
    </row>
    <row r="13" spans="1:137" ht="12.75" customHeight="1">
      <c r="A13">
        <v>4</v>
      </c>
      <c r="C13" t="e">
        <f>IF(F13="","",INDEX(References!$AY$108:$AY$123,MATCH(F13,References!$AW$108:$AW$123,0)))</f>
        <v>#REF!</v>
      </c>
      <c r="D13" t="e">
        <f>IF(F13="","",INDEX(References!$AX$108:$AX$123,MATCH(F13,References!$AW$108:$AW$123,0)))</f>
        <v>#REF!</v>
      </c>
      <c r="E13" t="e">
        <f>IF(F13="","",INDEX(References!$AZ$108:$AZ$123,MATCH(F13,References!$AW$108:$AW$123,0)))</f>
        <v>#REF!</v>
      </c>
      <c r="F13" t="e">
        <f>IF(Qualifying_Index!BJ81="","",Qualifying_Index!BJ81)</f>
        <v>#REF!</v>
      </c>
      <c r="I13" t="e">
        <f>IF(C13="","",Qualifying_Index!BK81)</f>
        <v>#REF!</v>
      </c>
      <c r="J13" t="e">
        <f>IF(D13="","",Qualifying_Index!BM81)</f>
        <v>#REF!</v>
      </c>
      <c r="K13" t="e">
        <f>IF(E13="","",Qualifying_Index!BL81)</f>
        <v>#REF!</v>
      </c>
      <c r="L13" t="e">
        <f t="shared" si="10"/>
        <v>#REF!</v>
      </c>
      <c r="M13" t="e">
        <f t="shared" si="11"/>
        <v>#REF!</v>
      </c>
      <c r="N13" s="101" t="e">
        <f t="shared" si="0"/>
        <v>#REF!</v>
      </c>
      <c r="O13" s="151" t="e">
        <f t="shared" si="1"/>
        <v>#REF!</v>
      </c>
      <c r="P13" s="152" t="e">
        <f t="shared" si="2"/>
        <v>#REF!</v>
      </c>
      <c r="Q13" s="152"/>
      <c r="R13" s="152"/>
      <c r="S13" s="152"/>
      <c r="T13" s="101" t="e">
        <f t="shared" si="12"/>
        <v>#REF!</v>
      </c>
      <c r="U13" s="101" t="e">
        <f t="shared" si="13"/>
        <v>#REF!</v>
      </c>
      <c r="V13" s="101" t="e">
        <f t="shared" si="13"/>
        <v>#REF!</v>
      </c>
      <c r="W13" s="101" t="e">
        <f t="shared" si="14"/>
        <v>#REF!</v>
      </c>
      <c r="X13" s="101" t="e">
        <f t="shared" si="15"/>
        <v>#REF!</v>
      </c>
      <c r="Y13" s="150" t="e">
        <f>IF(F13="","",ROUND((I13*T13)/(1-W13)*(1-U13+V13),References!$AO$6))</f>
        <v>#REF!</v>
      </c>
      <c r="Z13" s="152" t="e">
        <f>IF(F13="","",ROUND(J13/(1-X13)*(1-U13+V13),References!$AO$7))</f>
        <v>#REF!</v>
      </c>
      <c r="AA13" s="152" t="e">
        <f>IF(F13="","",ROUND((K13*T13)/(1-W13)*(1-U13+V13),References!$AO$6))</f>
        <v>#REF!</v>
      </c>
      <c r="AB13" s="152" t="e">
        <f>IF(F13="","",ROUND(L13/(1-X13)*(1-U13+V13),References!$AO$7))</f>
        <v>#REF!</v>
      </c>
      <c r="AC13" s="152" t="e">
        <f t="shared" si="3"/>
        <v>#REF!</v>
      </c>
      <c r="AD13" s="150" t="e">
        <f t="shared" si="4"/>
        <v>#REF!</v>
      </c>
      <c r="AE13" s="152" t="e">
        <f t="shared" si="5"/>
        <v>#REF!</v>
      </c>
      <c r="AF13" s="152" t="e">
        <f t="shared" si="6"/>
        <v>#REF!</v>
      </c>
      <c r="AG13" s="152" t="e">
        <f t="shared" si="7"/>
        <v>#REF!</v>
      </c>
      <c r="AH13" s="152" t="e">
        <f t="shared" si="8"/>
        <v>#REF!</v>
      </c>
      <c r="AL13" s="101" t="e">
        <f>IF(C13="","",Qualifying_Index!BP81)</f>
        <v>#REF!</v>
      </c>
      <c r="AM13" s="101" t="e">
        <f t="shared" si="16"/>
        <v>#REF!</v>
      </c>
      <c r="AN13" s="101" t="e">
        <f t="shared" si="17"/>
        <v>#REF!</v>
      </c>
      <c r="AO13" s="101" t="e">
        <f>IF($C13="","",Worksheet!#REF!/SUM($AU$10:$AU$14))</f>
        <v>#REF!</v>
      </c>
      <c r="AQ13" s="101" t="e">
        <f t="shared" si="18"/>
        <v>#REF!</v>
      </c>
      <c r="AR13" s="101" t="e">
        <f>IF($C13="","",Worksheet!J109/SUM($AU$10:$AU$14))</f>
        <v>#REF!</v>
      </c>
      <c r="AS13" s="101" t="e">
        <f t="shared" si="21"/>
        <v>#REF!</v>
      </c>
      <c r="AU13" t="e">
        <f t="shared" si="20"/>
        <v>#REF!</v>
      </c>
    </row>
    <row r="14" spans="1:137" ht="12.75" customHeight="1">
      <c r="A14">
        <v>5</v>
      </c>
      <c r="C14" t="e">
        <f>IF(F14="","",INDEX(References!$AY$108:$AY$123,MATCH(F14,References!$AW$108:$AW$123,0)))</f>
        <v>#REF!</v>
      </c>
      <c r="D14" t="e">
        <f>IF(F14="","",INDEX(References!$AX$108:$AX$123,MATCH(F14,References!$AW$108:$AW$123,0)))</f>
        <v>#REF!</v>
      </c>
      <c r="E14" t="e">
        <f>IF(F14="","",INDEX(References!$AZ$108:$AZ$123,MATCH(F14,References!$AW$108:$AW$123,0)))</f>
        <v>#REF!</v>
      </c>
      <c r="F14" t="e">
        <f>IF(Qualifying_Index!BJ82="","",Qualifying_Index!BJ82)</f>
        <v>#REF!</v>
      </c>
      <c r="I14" t="e">
        <f>IF(C14="","",Qualifying_Index!BK82)</f>
        <v>#REF!</v>
      </c>
      <c r="J14" t="e">
        <f>IF(D14="","",Qualifying_Index!BM82)</f>
        <v>#REF!</v>
      </c>
      <c r="K14" t="e">
        <f>IF(E14="","",Qualifying_Index!BL82)</f>
        <v>#REF!</v>
      </c>
      <c r="L14" t="e">
        <f t="shared" si="10"/>
        <v>#REF!</v>
      </c>
      <c r="M14" t="e">
        <f t="shared" si="11"/>
        <v>#REF!</v>
      </c>
      <c r="N14" s="101" t="e">
        <f t="shared" si="0"/>
        <v>#REF!</v>
      </c>
      <c r="O14" s="151" t="e">
        <f t="shared" si="1"/>
        <v>#REF!</v>
      </c>
      <c r="P14" s="152" t="e">
        <f t="shared" si="2"/>
        <v>#REF!</v>
      </c>
      <c r="Q14" s="152"/>
      <c r="R14" s="152"/>
      <c r="S14" s="152"/>
      <c r="T14" s="101" t="e">
        <f t="shared" si="12"/>
        <v>#REF!</v>
      </c>
      <c r="U14" s="101" t="e">
        <f t="shared" si="13"/>
        <v>#REF!</v>
      </c>
      <c r="V14" s="101" t="e">
        <f t="shared" si="13"/>
        <v>#REF!</v>
      </c>
      <c r="W14" s="101" t="e">
        <f t="shared" si="14"/>
        <v>#REF!</v>
      </c>
      <c r="X14" s="101" t="e">
        <f t="shared" si="15"/>
        <v>#REF!</v>
      </c>
      <c r="Y14" s="150" t="e">
        <f>IF(F14="","",ROUND((I14*T14)/(1-W14)*(1-U14+V14),References!$AO$6))</f>
        <v>#REF!</v>
      </c>
      <c r="Z14" s="152" t="e">
        <f>IF(F14="","",ROUND(J14/(1-X14)*(1-U14+V14),References!$AO$7))</f>
        <v>#REF!</v>
      </c>
      <c r="AA14" s="152" t="e">
        <f>IF(F14="","",ROUND((K14*T14)/(1-W14)*(1-U14+V14),References!$AO$6))</f>
        <v>#REF!</v>
      </c>
      <c r="AB14" s="152" t="e">
        <f>IF(F14="","",ROUND(L14/(1-X14)*(1-U14+V14),References!$AO$7))</f>
        <v>#REF!</v>
      </c>
      <c r="AC14" s="152" t="e">
        <f t="shared" si="3"/>
        <v>#REF!</v>
      </c>
      <c r="AD14" s="150" t="e">
        <f t="shared" si="4"/>
        <v>#REF!</v>
      </c>
      <c r="AE14" s="152" t="e">
        <f t="shared" si="5"/>
        <v>#REF!</v>
      </c>
      <c r="AF14" s="152" t="e">
        <f t="shared" si="6"/>
        <v>#REF!</v>
      </c>
      <c r="AG14" s="152" t="e">
        <f t="shared" si="7"/>
        <v>#REF!</v>
      </c>
      <c r="AH14" s="152" t="e">
        <f t="shared" si="8"/>
        <v>#REF!</v>
      </c>
      <c r="AL14" s="101" t="e">
        <f>IF(C14="","",Qualifying_Index!BP82)</f>
        <v>#REF!</v>
      </c>
      <c r="AM14" s="101" t="e">
        <f t="shared" si="16"/>
        <v>#REF!</v>
      </c>
      <c r="AN14" s="101" t="e">
        <f t="shared" si="17"/>
        <v>#REF!</v>
      </c>
      <c r="AO14" s="101" t="e">
        <f>IF($C14="","",Worksheet!J108/SUM($AU$10:$AU$14))</f>
        <v>#REF!</v>
      </c>
      <c r="AQ14" s="101" t="e">
        <f t="shared" si="18"/>
        <v>#REF!</v>
      </c>
      <c r="AR14" s="101" t="e">
        <f>IF($C14="","",Worksheet!J110/SUM($AU$10:$AU$14))</f>
        <v>#REF!</v>
      </c>
      <c r="AS14" s="101" t="e">
        <f t="shared" si="21"/>
        <v>#REF!</v>
      </c>
      <c r="AU14" t="e">
        <f t="shared" si="20"/>
        <v>#REF!</v>
      </c>
    </row>
  </sheetData>
  <pageMargins left="0.7" right="0.7" top="0.75" bottom="0.75" header="0.3" footer="0.3"/>
  <pageSetup orientation="portrait" r:id="rId1"/>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7">
    <tabColor theme="9" tint="0.39997558519241921"/>
  </sheetPr>
  <dimension ref="A1:AE47"/>
  <sheetViews>
    <sheetView showGridLines="0" zoomScale="80" zoomScaleNormal="80" workbookViewId="0"/>
  </sheetViews>
  <sheetFormatPr defaultColWidth="8.81640625" defaultRowHeight="14.5"/>
  <cols>
    <col min="1" max="1" width="8.81640625" style="38"/>
    <col min="2" max="2" width="26.54296875" style="38" bestFit="1" customWidth="1"/>
    <col min="3" max="3" width="15.54296875" style="38" bestFit="1" customWidth="1"/>
    <col min="4" max="4" width="13.1796875" style="38" bestFit="1" customWidth="1"/>
    <col min="5" max="5" width="20.7265625" style="38" bestFit="1" customWidth="1"/>
    <col min="6" max="6" width="18.453125" style="38" bestFit="1" customWidth="1"/>
    <col min="7" max="7" width="12.453125" style="38" bestFit="1" customWidth="1"/>
    <col min="8" max="8" width="12.54296875" style="38" bestFit="1" customWidth="1"/>
    <col min="9" max="9" width="11.7265625" style="38" bestFit="1" customWidth="1"/>
    <col min="10" max="10" width="21" style="38" bestFit="1" customWidth="1"/>
    <col min="11" max="11" width="22.1796875" style="38" bestFit="1" customWidth="1"/>
    <col min="12" max="12" width="22.453125" style="38" bestFit="1" customWidth="1"/>
    <col min="13" max="13" width="21.1796875" style="38" bestFit="1" customWidth="1"/>
    <col min="14" max="14" width="20.1796875" style="38" bestFit="1" customWidth="1"/>
    <col min="15" max="15" width="18.453125" style="38" bestFit="1" customWidth="1"/>
    <col min="16" max="16" width="13.453125" style="38" customWidth="1"/>
    <col min="17" max="17" width="12.81640625" style="38" bestFit="1" customWidth="1"/>
    <col min="18" max="18" width="15.453125" style="38" customWidth="1"/>
    <col min="19" max="19" width="13.1796875" style="38" bestFit="1" customWidth="1"/>
    <col min="20" max="20" width="15.54296875" style="38" bestFit="1" customWidth="1"/>
    <col min="21" max="21" width="20.26953125" style="38" bestFit="1" customWidth="1"/>
    <col min="22" max="22" width="16.81640625" style="38" customWidth="1"/>
    <col min="23" max="23" width="18.26953125" style="38" bestFit="1" customWidth="1"/>
    <col min="24" max="24" width="20.26953125" style="38" bestFit="1" customWidth="1"/>
    <col min="25" max="30" width="16.81640625" style="38" customWidth="1"/>
    <col min="31" max="31" width="20.54296875" style="38" customWidth="1"/>
    <col min="32" max="16384" width="8.81640625" style="38"/>
  </cols>
  <sheetData>
    <row r="1" spans="1:31">
      <c r="A1" s="273"/>
    </row>
    <row r="2" spans="1:31">
      <c r="B2" s="438" t="s">
        <v>1258</v>
      </c>
    </row>
    <row r="3" spans="1:31" s="41" customFormat="1">
      <c r="B3" s="182" t="str">
        <f>ProposedEquipment0!E1</f>
        <v>Product Name</v>
      </c>
      <c r="C3" s="182" t="str">
        <f>ProposedEquipment0!AU1</f>
        <v>Product Quantity</v>
      </c>
      <c r="D3" s="182" t="str">
        <f>ProposedEquipment0!F1</f>
        <v>Measure Code</v>
      </c>
      <c r="E3" s="182" t="str">
        <f>ProposedEquipment0!G1</f>
        <v>Application ID</v>
      </c>
      <c r="F3" s="182" t="str">
        <f>ProposedEquipment0!BM1</f>
        <v>Baseline EER</v>
      </c>
      <c r="G3" s="182" t="str">
        <f>ProposedEquipment0!BN1</f>
        <v>Baseline SEER</v>
      </c>
      <c r="H3" s="182" t="str">
        <f>ProposedEquipment0!BO1</f>
        <v>Baseline HSPF</v>
      </c>
      <c r="I3" s="182" t="str">
        <f>ProposedEquipment0!BX1</f>
        <v>Cooling Btuh</v>
      </c>
      <c r="J3" s="182" t="str">
        <f>ProposedEquipment0!BR1</f>
        <v>Proposed/Installed EER</v>
      </c>
      <c r="K3" s="182" t="str">
        <f>ProposedEquipment0!BS1</f>
        <v>Proposed/Installed SEER</v>
      </c>
      <c r="L3" s="182" t="str">
        <f>ProposedEquipment0!BT1</f>
        <v>Proposed/Installed HSPF</v>
      </c>
      <c r="M3" s="182" t="str">
        <f>ProposedEquipment0!BU1</f>
        <v>Proposed/Installed COP</v>
      </c>
      <c r="N3" s="182" t="str">
        <f>ProposedEquipment0!AR1</f>
        <v>Elec Util Cust Incentive</v>
      </c>
      <c r="O3" s="182" t="str">
        <f>ProposedEquipment0!AT1</f>
        <v>Contractor Incentive</v>
      </c>
      <c r="P3" s="182" t="str">
        <f>ProposedEquipment0!I1</f>
        <v>Gross kW</v>
      </c>
      <c r="Q3" s="182" t="str">
        <f>ProposedEquipment0!J1</f>
        <v>Gross kWh</v>
      </c>
      <c r="R3" s="182" t="str">
        <f>ProposedEquipment0!K1</f>
        <v>Gross Winter kW</v>
      </c>
      <c r="S3" s="182" t="str">
        <f>ProposedEquipment0!L1</f>
        <v>Gross BE kWh</v>
      </c>
      <c r="T3" s="182" t="str">
        <f>ProposedEquipment0!M1</f>
        <v>Delta Gross kWh</v>
      </c>
      <c r="U3" s="182" t="str">
        <f>ProposedEquipment0!Y1</f>
        <v>Net kW</v>
      </c>
      <c r="V3" s="182" t="str">
        <f>ProposedEquipment0!Z1</f>
        <v>Net kWh</v>
      </c>
      <c r="W3" s="182" t="str">
        <f>ProposedEquipment0!AA1</f>
        <v>Net Winter kW</v>
      </c>
      <c r="X3" s="182" t="str">
        <f>ProposedEquipment0!AB1</f>
        <v>Net BE kWh</v>
      </c>
      <c r="Y3" s="182" t="str">
        <f>ProposedEquipment0!AC1</f>
        <v>Delta Net kWh</v>
      </c>
      <c r="Z3" s="182" t="str">
        <f>ProposedEquipment0!AD1</f>
        <v>Total Net kW</v>
      </c>
      <c r="AA3" s="182" t="str">
        <f>ProposedEquipment0!AE1</f>
        <v>Total Net kWh</v>
      </c>
      <c r="AB3" s="182" t="str">
        <f>ProposedEquipment0!AF1</f>
        <v>Total Net Winter kW</v>
      </c>
      <c r="AC3" s="182" t="str">
        <f>ProposedEquipment0!AG1</f>
        <v>Total Net BE kWh</v>
      </c>
      <c r="AD3" s="182" t="str">
        <f>ProposedEquipment0!AH1</f>
        <v>Total Delta Net kWh</v>
      </c>
      <c r="AE3" s="258" t="s">
        <v>232</v>
      </c>
    </row>
    <row r="4" spans="1:31">
      <c r="B4" s="183" t="e">
        <f>ProposedEquipment0!#REF!</f>
        <v>#REF!</v>
      </c>
      <c r="C4" s="183" t="e">
        <f>ProposedEquipment0!#REF!</f>
        <v>#REF!</v>
      </c>
      <c r="D4" s="183" t="e">
        <f>ProposedEquipment0!#REF!</f>
        <v>#REF!</v>
      </c>
      <c r="E4" s="183" t="e">
        <f>ProposedEquipment0!#REF!</f>
        <v>#REF!</v>
      </c>
      <c r="F4" s="183" t="e">
        <f>ProposedEquipment0!#REF!</f>
        <v>#REF!</v>
      </c>
      <c r="G4" s="183" t="e">
        <f>ProposedEquipment0!#REF!</f>
        <v>#REF!</v>
      </c>
      <c r="H4" s="183" t="e">
        <f>ProposedEquipment0!#REF!</f>
        <v>#REF!</v>
      </c>
      <c r="I4" s="183" t="e">
        <f>ProposedEquipment0!#REF!</f>
        <v>#REF!</v>
      </c>
      <c r="J4" s="183" t="e">
        <f>ProposedEquipment0!#REF!</f>
        <v>#REF!</v>
      </c>
      <c r="K4" s="183" t="e">
        <f>ProposedEquipment0!#REF!</f>
        <v>#REF!</v>
      </c>
      <c r="L4" s="183" t="e">
        <f>ProposedEquipment0!#REF!</f>
        <v>#REF!</v>
      </c>
      <c r="M4" s="183" t="e">
        <f>ProposedEquipment0!#REF!</f>
        <v>#REF!</v>
      </c>
      <c r="N4" s="184" t="e">
        <f>ProposedEquipment0!#REF!</f>
        <v>#REF!</v>
      </c>
      <c r="O4" s="184" t="e">
        <f>ProposedEquipment0!#REF!</f>
        <v>#REF!</v>
      </c>
      <c r="P4" s="185" t="e">
        <f>ProposedEquipment0!#REF!</f>
        <v>#REF!</v>
      </c>
      <c r="Q4" s="186" t="e">
        <f>ProposedEquipment0!#REF!</f>
        <v>#REF!</v>
      </c>
      <c r="R4" s="185" t="e">
        <f>ProposedEquipment0!#REF!</f>
        <v>#REF!</v>
      </c>
      <c r="S4" s="186" t="e">
        <f>ProposedEquipment0!#REF!</f>
        <v>#REF!</v>
      </c>
      <c r="T4" s="186" t="e">
        <f>ProposedEquipment0!#REF!</f>
        <v>#REF!</v>
      </c>
      <c r="U4" s="183" t="e">
        <f>ProposedEquipment0!#REF!</f>
        <v>#REF!</v>
      </c>
      <c r="V4" s="183" t="e">
        <f>ProposedEquipment0!#REF!</f>
        <v>#REF!</v>
      </c>
      <c r="W4" s="183" t="e">
        <f>ProposedEquipment0!#REF!</f>
        <v>#REF!</v>
      </c>
      <c r="X4" s="183" t="e">
        <f>ProposedEquipment0!#REF!</f>
        <v>#REF!</v>
      </c>
      <c r="Y4" s="183" t="e">
        <f>ProposedEquipment0!#REF!</f>
        <v>#REF!</v>
      </c>
      <c r="Z4" s="183" t="e">
        <f>ProposedEquipment0!#REF!</f>
        <v>#REF!</v>
      </c>
      <c r="AA4" s="183" t="e">
        <f>ProposedEquipment0!#REF!</f>
        <v>#REF!</v>
      </c>
      <c r="AB4" s="183" t="e">
        <f>ProposedEquipment0!#REF!</f>
        <v>#REF!</v>
      </c>
      <c r="AC4" s="183" t="e">
        <f>ProposedEquipment0!#REF!</f>
        <v>#REF!</v>
      </c>
      <c r="AD4" s="183" t="e">
        <f>ProposedEquipment0!#REF!</f>
        <v>#REF!</v>
      </c>
      <c r="AE4" s="272"/>
    </row>
    <row r="5" spans="1:31">
      <c r="B5" s="183" t="e">
        <f>ProposedEquipment0!#REF!</f>
        <v>#REF!</v>
      </c>
      <c r="C5" s="183" t="e">
        <f>ProposedEquipment0!#REF!</f>
        <v>#REF!</v>
      </c>
      <c r="D5" s="183" t="e">
        <f>ProposedEquipment0!#REF!</f>
        <v>#REF!</v>
      </c>
      <c r="E5" s="183" t="e">
        <f>ProposedEquipment0!#REF!</f>
        <v>#REF!</v>
      </c>
      <c r="F5" s="183" t="e">
        <f>ProposedEquipment0!#REF!</f>
        <v>#REF!</v>
      </c>
      <c r="G5" s="183" t="e">
        <f>ProposedEquipment0!#REF!</f>
        <v>#REF!</v>
      </c>
      <c r="H5" s="183" t="e">
        <f>ProposedEquipment0!#REF!</f>
        <v>#REF!</v>
      </c>
      <c r="I5" s="183" t="e">
        <f>ProposedEquipment0!#REF!</f>
        <v>#REF!</v>
      </c>
      <c r="J5" s="183" t="e">
        <f>ProposedEquipment0!#REF!</f>
        <v>#REF!</v>
      </c>
      <c r="K5" s="183" t="e">
        <f>ProposedEquipment0!#REF!</f>
        <v>#REF!</v>
      </c>
      <c r="L5" s="183" t="e">
        <f>ProposedEquipment0!#REF!</f>
        <v>#REF!</v>
      </c>
      <c r="M5" s="183" t="e">
        <f>ProposedEquipment0!#REF!</f>
        <v>#REF!</v>
      </c>
      <c r="N5" s="184" t="e">
        <f>ProposedEquipment0!#REF!</f>
        <v>#REF!</v>
      </c>
      <c r="O5" s="184" t="e">
        <f>ProposedEquipment0!#REF!</f>
        <v>#REF!</v>
      </c>
      <c r="P5" s="185" t="e">
        <f>ProposedEquipment0!#REF!</f>
        <v>#REF!</v>
      </c>
      <c r="Q5" s="186" t="e">
        <f>ProposedEquipment0!#REF!</f>
        <v>#REF!</v>
      </c>
      <c r="R5" s="185" t="e">
        <f>ProposedEquipment0!#REF!</f>
        <v>#REF!</v>
      </c>
      <c r="S5" s="186" t="e">
        <f>ProposedEquipment0!#REF!</f>
        <v>#REF!</v>
      </c>
      <c r="T5" s="186" t="e">
        <f>ProposedEquipment0!#REF!</f>
        <v>#REF!</v>
      </c>
      <c r="U5" s="183" t="e">
        <f>ProposedEquipment0!#REF!</f>
        <v>#REF!</v>
      </c>
      <c r="V5" s="183" t="e">
        <f>ProposedEquipment0!#REF!</f>
        <v>#REF!</v>
      </c>
      <c r="W5" s="183" t="e">
        <f>ProposedEquipment0!#REF!</f>
        <v>#REF!</v>
      </c>
      <c r="X5" s="183" t="e">
        <f>ProposedEquipment0!#REF!</f>
        <v>#REF!</v>
      </c>
      <c r="Y5" s="183" t="e">
        <f>ProposedEquipment0!#REF!</f>
        <v>#REF!</v>
      </c>
      <c r="Z5" s="183" t="e">
        <f>ProposedEquipment0!#REF!</f>
        <v>#REF!</v>
      </c>
      <c r="AA5" s="183" t="e">
        <f>ProposedEquipment0!#REF!</f>
        <v>#REF!</v>
      </c>
      <c r="AB5" s="183" t="e">
        <f>ProposedEquipment0!#REF!</f>
        <v>#REF!</v>
      </c>
      <c r="AC5" s="183" t="e">
        <f>ProposedEquipment0!#REF!</f>
        <v>#REF!</v>
      </c>
      <c r="AD5" s="183" t="e">
        <f>ProposedEquipment0!#REF!</f>
        <v>#REF!</v>
      </c>
      <c r="AE5" s="272"/>
    </row>
    <row r="6" spans="1:31">
      <c r="B6" s="183" t="e">
        <f>ProposedEquipment0!#REF!</f>
        <v>#REF!</v>
      </c>
      <c r="C6" s="183" t="e">
        <f>ProposedEquipment0!#REF!</f>
        <v>#REF!</v>
      </c>
      <c r="D6" s="183" t="e">
        <f>ProposedEquipment0!#REF!</f>
        <v>#REF!</v>
      </c>
      <c r="E6" s="183" t="e">
        <f>ProposedEquipment0!#REF!</f>
        <v>#REF!</v>
      </c>
      <c r="F6" s="183" t="e">
        <f>ProposedEquipment0!#REF!</f>
        <v>#REF!</v>
      </c>
      <c r="G6" s="183" t="e">
        <f>ProposedEquipment0!#REF!</f>
        <v>#REF!</v>
      </c>
      <c r="H6" s="183" t="e">
        <f>ProposedEquipment0!#REF!</f>
        <v>#REF!</v>
      </c>
      <c r="I6" s="183" t="e">
        <f>ProposedEquipment0!#REF!</f>
        <v>#REF!</v>
      </c>
      <c r="J6" s="183" t="e">
        <f>ProposedEquipment0!#REF!</f>
        <v>#REF!</v>
      </c>
      <c r="K6" s="183" t="e">
        <f>ProposedEquipment0!#REF!</f>
        <v>#REF!</v>
      </c>
      <c r="L6" s="183" t="e">
        <f>ProposedEquipment0!#REF!</f>
        <v>#REF!</v>
      </c>
      <c r="M6" s="183" t="e">
        <f>ProposedEquipment0!#REF!</f>
        <v>#REF!</v>
      </c>
      <c r="N6" s="184" t="e">
        <f>ProposedEquipment0!#REF!</f>
        <v>#REF!</v>
      </c>
      <c r="O6" s="184" t="e">
        <f>ProposedEquipment0!#REF!</f>
        <v>#REF!</v>
      </c>
      <c r="P6" s="185" t="e">
        <f>ProposedEquipment0!#REF!</f>
        <v>#REF!</v>
      </c>
      <c r="Q6" s="186" t="e">
        <f>ProposedEquipment0!#REF!</f>
        <v>#REF!</v>
      </c>
      <c r="R6" s="185" t="e">
        <f>ProposedEquipment0!#REF!</f>
        <v>#REF!</v>
      </c>
      <c r="S6" s="186" t="e">
        <f>ProposedEquipment0!#REF!</f>
        <v>#REF!</v>
      </c>
      <c r="T6" s="186" t="e">
        <f>ProposedEquipment0!#REF!</f>
        <v>#REF!</v>
      </c>
      <c r="U6" s="183" t="e">
        <f>ProposedEquipment0!#REF!</f>
        <v>#REF!</v>
      </c>
      <c r="V6" s="183" t="e">
        <f>ProposedEquipment0!#REF!</f>
        <v>#REF!</v>
      </c>
      <c r="W6" s="183" t="e">
        <f>ProposedEquipment0!#REF!</f>
        <v>#REF!</v>
      </c>
      <c r="X6" s="183" t="e">
        <f>ProposedEquipment0!#REF!</f>
        <v>#REF!</v>
      </c>
      <c r="Y6" s="183" t="e">
        <f>ProposedEquipment0!#REF!</f>
        <v>#REF!</v>
      </c>
      <c r="Z6" s="183" t="e">
        <f>ProposedEquipment0!#REF!</f>
        <v>#REF!</v>
      </c>
      <c r="AA6" s="183" t="e">
        <f>ProposedEquipment0!#REF!</f>
        <v>#REF!</v>
      </c>
      <c r="AB6" s="183" t="e">
        <f>ProposedEquipment0!#REF!</f>
        <v>#REF!</v>
      </c>
      <c r="AC6" s="183" t="e">
        <f>ProposedEquipment0!#REF!</f>
        <v>#REF!</v>
      </c>
      <c r="AD6" s="183" t="e">
        <f>ProposedEquipment0!#REF!</f>
        <v>#REF!</v>
      </c>
      <c r="AE6" s="272"/>
    </row>
    <row r="7" spans="1:31">
      <c r="B7" s="183" t="e">
        <f>ProposedEquipment0!#REF!</f>
        <v>#REF!</v>
      </c>
      <c r="C7" s="183" t="e">
        <f>ProposedEquipment0!#REF!</f>
        <v>#REF!</v>
      </c>
      <c r="D7" s="183" t="e">
        <f>ProposedEquipment0!#REF!</f>
        <v>#REF!</v>
      </c>
      <c r="E7" s="183" t="e">
        <f>ProposedEquipment0!#REF!</f>
        <v>#REF!</v>
      </c>
      <c r="F7" s="183" t="e">
        <f>ProposedEquipment0!#REF!</f>
        <v>#REF!</v>
      </c>
      <c r="G7" s="183" t="e">
        <f>ProposedEquipment0!#REF!</f>
        <v>#REF!</v>
      </c>
      <c r="H7" s="183" t="e">
        <f>ProposedEquipment0!#REF!</f>
        <v>#REF!</v>
      </c>
      <c r="I7" s="183" t="e">
        <f>ProposedEquipment0!#REF!</f>
        <v>#REF!</v>
      </c>
      <c r="J7" s="183" t="e">
        <f>ProposedEquipment0!#REF!</f>
        <v>#REF!</v>
      </c>
      <c r="K7" s="183" t="e">
        <f>ProposedEquipment0!#REF!</f>
        <v>#REF!</v>
      </c>
      <c r="L7" s="183" t="e">
        <f>ProposedEquipment0!#REF!</f>
        <v>#REF!</v>
      </c>
      <c r="M7" s="183" t="e">
        <f>ProposedEquipment0!#REF!</f>
        <v>#REF!</v>
      </c>
      <c r="N7" s="184" t="e">
        <f>ProposedEquipment0!#REF!</f>
        <v>#REF!</v>
      </c>
      <c r="O7" s="184" t="e">
        <f>ProposedEquipment0!#REF!</f>
        <v>#REF!</v>
      </c>
      <c r="P7" s="185" t="e">
        <f>ProposedEquipment0!#REF!</f>
        <v>#REF!</v>
      </c>
      <c r="Q7" s="186" t="e">
        <f>ProposedEquipment0!#REF!</f>
        <v>#REF!</v>
      </c>
      <c r="R7" s="185" t="e">
        <f>ProposedEquipment0!#REF!</f>
        <v>#REF!</v>
      </c>
      <c r="S7" s="186" t="e">
        <f>ProposedEquipment0!#REF!</f>
        <v>#REF!</v>
      </c>
      <c r="T7" s="186" t="e">
        <f>ProposedEquipment0!#REF!</f>
        <v>#REF!</v>
      </c>
      <c r="U7" s="183" t="e">
        <f>ProposedEquipment0!#REF!</f>
        <v>#REF!</v>
      </c>
      <c r="V7" s="183" t="e">
        <f>ProposedEquipment0!#REF!</f>
        <v>#REF!</v>
      </c>
      <c r="W7" s="183" t="e">
        <f>ProposedEquipment0!#REF!</f>
        <v>#REF!</v>
      </c>
      <c r="X7" s="183" t="e">
        <f>ProposedEquipment0!#REF!</f>
        <v>#REF!</v>
      </c>
      <c r="Y7" s="183" t="e">
        <f>ProposedEquipment0!#REF!</f>
        <v>#REF!</v>
      </c>
      <c r="Z7" s="183" t="e">
        <f>ProposedEquipment0!#REF!</f>
        <v>#REF!</v>
      </c>
      <c r="AA7" s="183" t="e">
        <f>ProposedEquipment0!#REF!</f>
        <v>#REF!</v>
      </c>
      <c r="AB7" s="183" t="e">
        <f>ProposedEquipment0!#REF!</f>
        <v>#REF!</v>
      </c>
      <c r="AC7" s="183" t="e">
        <f>ProposedEquipment0!#REF!</f>
        <v>#REF!</v>
      </c>
      <c r="AD7" s="183" t="e">
        <f>ProposedEquipment0!#REF!</f>
        <v>#REF!</v>
      </c>
      <c r="AE7" s="272"/>
    </row>
    <row r="8" spans="1:31">
      <c r="B8" s="183" t="e">
        <f>ProposedEquipment0!#REF!</f>
        <v>#REF!</v>
      </c>
      <c r="C8" s="183" t="e">
        <f>ProposedEquipment0!#REF!</f>
        <v>#REF!</v>
      </c>
      <c r="D8" s="183" t="e">
        <f>ProposedEquipment0!#REF!</f>
        <v>#REF!</v>
      </c>
      <c r="E8" s="183" t="e">
        <f>ProposedEquipment0!#REF!</f>
        <v>#REF!</v>
      </c>
      <c r="F8" s="183" t="e">
        <f>ProposedEquipment0!#REF!</f>
        <v>#REF!</v>
      </c>
      <c r="G8" s="183" t="e">
        <f>ProposedEquipment0!#REF!</f>
        <v>#REF!</v>
      </c>
      <c r="H8" s="183" t="e">
        <f>ProposedEquipment0!#REF!</f>
        <v>#REF!</v>
      </c>
      <c r="I8" s="183" t="e">
        <f>ProposedEquipment0!#REF!</f>
        <v>#REF!</v>
      </c>
      <c r="J8" s="183" t="e">
        <f>ProposedEquipment0!#REF!</f>
        <v>#REF!</v>
      </c>
      <c r="K8" s="183" t="e">
        <f>ProposedEquipment0!#REF!</f>
        <v>#REF!</v>
      </c>
      <c r="L8" s="183" t="e">
        <f>ProposedEquipment0!#REF!</f>
        <v>#REF!</v>
      </c>
      <c r="M8" s="183" t="e">
        <f>ProposedEquipment0!#REF!</f>
        <v>#REF!</v>
      </c>
      <c r="N8" s="184" t="e">
        <f>ProposedEquipment0!#REF!</f>
        <v>#REF!</v>
      </c>
      <c r="O8" s="184" t="e">
        <f>ProposedEquipment0!#REF!</f>
        <v>#REF!</v>
      </c>
      <c r="P8" s="185" t="e">
        <f>ProposedEquipment0!#REF!</f>
        <v>#REF!</v>
      </c>
      <c r="Q8" s="186" t="e">
        <f>ProposedEquipment0!#REF!</f>
        <v>#REF!</v>
      </c>
      <c r="R8" s="185" t="e">
        <f>ProposedEquipment0!#REF!</f>
        <v>#REF!</v>
      </c>
      <c r="S8" s="186" t="e">
        <f>ProposedEquipment0!#REF!</f>
        <v>#REF!</v>
      </c>
      <c r="T8" s="186" t="e">
        <f>ProposedEquipment0!#REF!</f>
        <v>#REF!</v>
      </c>
      <c r="U8" s="183" t="e">
        <f>ProposedEquipment0!#REF!</f>
        <v>#REF!</v>
      </c>
      <c r="V8" s="183" t="e">
        <f>ProposedEquipment0!#REF!</f>
        <v>#REF!</v>
      </c>
      <c r="W8" s="183" t="e">
        <f>ProposedEquipment0!#REF!</f>
        <v>#REF!</v>
      </c>
      <c r="X8" s="183" t="e">
        <f>ProposedEquipment0!#REF!</f>
        <v>#REF!</v>
      </c>
      <c r="Y8" s="183" t="e">
        <f>ProposedEquipment0!#REF!</f>
        <v>#REF!</v>
      </c>
      <c r="Z8" s="183" t="e">
        <f>ProposedEquipment0!#REF!</f>
        <v>#REF!</v>
      </c>
      <c r="AA8" s="183" t="e">
        <f>ProposedEquipment0!#REF!</f>
        <v>#REF!</v>
      </c>
      <c r="AB8" s="183" t="e">
        <f>ProposedEquipment0!#REF!</f>
        <v>#REF!</v>
      </c>
      <c r="AC8" s="183" t="e">
        <f>ProposedEquipment0!#REF!</f>
        <v>#REF!</v>
      </c>
      <c r="AD8" s="183" t="e">
        <f>ProposedEquipment0!#REF!</f>
        <v>#REF!</v>
      </c>
      <c r="AE8" s="272"/>
    </row>
    <row r="9" spans="1:31">
      <c r="B9" s="183" t="e">
        <f>ProposedEquipment0!#REF!</f>
        <v>#REF!</v>
      </c>
      <c r="C9" s="183" t="e">
        <f>ProposedEquipment0!#REF!</f>
        <v>#REF!</v>
      </c>
      <c r="D9" s="183" t="e">
        <f>ProposedEquipment0!#REF!</f>
        <v>#REF!</v>
      </c>
      <c r="E9" s="183" t="e">
        <f>ProposedEquipment0!#REF!</f>
        <v>#REF!</v>
      </c>
      <c r="F9" s="183" t="e">
        <f>ProposedEquipment0!#REF!</f>
        <v>#REF!</v>
      </c>
      <c r="G9" s="183" t="e">
        <f>ProposedEquipment0!#REF!</f>
        <v>#REF!</v>
      </c>
      <c r="H9" s="183" t="e">
        <f>ProposedEquipment0!#REF!</f>
        <v>#REF!</v>
      </c>
      <c r="I9" s="183" t="e">
        <f>ProposedEquipment0!#REF!</f>
        <v>#REF!</v>
      </c>
      <c r="J9" s="183" t="e">
        <f>ProposedEquipment0!#REF!</f>
        <v>#REF!</v>
      </c>
      <c r="K9" s="183" t="e">
        <f>ProposedEquipment0!#REF!</f>
        <v>#REF!</v>
      </c>
      <c r="L9" s="183" t="e">
        <f>ProposedEquipment0!#REF!</f>
        <v>#REF!</v>
      </c>
      <c r="M9" s="183" t="e">
        <f>ProposedEquipment0!#REF!</f>
        <v>#REF!</v>
      </c>
      <c r="N9" s="184" t="e">
        <f>ProposedEquipment0!#REF!</f>
        <v>#REF!</v>
      </c>
      <c r="O9" s="184" t="e">
        <f>ProposedEquipment0!#REF!</f>
        <v>#REF!</v>
      </c>
      <c r="P9" s="185" t="e">
        <f>ProposedEquipment0!#REF!</f>
        <v>#REF!</v>
      </c>
      <c r="Q9" s="186" t="e">
        <f>ProposedEquipment0!#REF!</f>
        <v>#REF!</v>
      </c>
      <c r="R9" s="185" t="e">
        <f>ProposedEquipment0!#REF!</f>
        <v>#REF!</v>
      </c>
      <c r="S9" s="186" t="e">
        <f>ProposedEquipment0!#REF!</f>
        <v>#REF!</v>
      </c>
      <c r="T9" s="186" t="e">
        <f>ProposedEquipment0!#REF!</f>
        <v>#REF!</v>
      </c>
      <c r="U9" s="183" t="e">
        <f>ProposedEquipment0!#REF!</f>
        <v>#REF!</v>
      </c>
      <c r="V9" s="183" t="e">
        <f>ProposedEquipment0!#REF!</f>
        <v>#REF!</v>
      </c>
      <c r="W9" s="183" t="e">
        <f>ProposedEquipment0!#REF!</f>
        <v>#REF!</v>
      </c>
      <c r="X9" s="183" t="e">
        <f>ProposedEquipment0!#REF!</f>
        <v>#REF!</v>
      </c>
      <c r="Y9" s="183" t="e">
        <f>ProposedEquipment0!#REF!</f>
        <v>#REF!</v>
      </c>
      <c r="Z9" s="183" t="e">
        <f>ProposedEquipment0!#REF!</f>
        <v>#REF!</v>
      </c>
      <c r="AA9" s="183" t="e">
        <f>ProposedEquipment0!#REF!</f>
        <v>#REF!</v>
      </c>
      <c r="AB9" s="183" t="e">
        <f>ProposedEquipment0!#REF!</f>
        <v>#REF!</v>
      </c>
      <c r="AC9" s="183" t="e">
        <f>ProposedEquipment0!#REF!</f>
        <v>#REF!</v>
      </c>
      <c r="AD9" s="183" t="e">
        <f>ProposedEquipment0!#REF!</f>
        <v>#REF!</v>
      </c>
      <c r="AE9" s="272"/>
    </row>
    <row r="10" spans="1:31">
      <c r="B10" s="183" t="e">
        <f>ProposedEquipment0!#REF!</f>
        <v>#REF!</v>
      </c>
      <c r="C10" s="183" t="e">
        <f>ProposedEquipment0!#REF!</f>
        <v>#REF!</v>
      </c>
      <c r="D10" s="183" t="e">
        <f>ProposedEquipment0!#REF!</f>
        <v>#REF!</v>
      </c>
      <c r="E10" s="183" t="e">
        <f>ProposedEquipment0!#REF!</f>
        <v>#REF!</v>
      </c>
      <c r="F10" s="183" t="e">
        <f>ProposedEquipment0!#REF!</f>
        <v>#REF!</v>
      </c>
      <c r="G10" s="183" t="e">
        <f>ProposedEquipment0!#REF!</f>
        <v>#REF!</v>
      </c>
      <c r="H10" s="183" t="e">
        <f>ProposedEquipment0!#REF!</f>
        <v>#REF!</v>
      </c>
      <c r="I10" s="183" t="e">
        <f>ProposedEquipment0!#REF!</f>
        <v>#REF!</v>
      </c>
      <c r="J10" s="183" t="e">
        <f>ProposedEquipment0!#REF!</f>
        <v>#REF!</v>
      </c>
      <c r="K10" s="183" t="e">
        <f>ProposedEquipment0!#REF!</f>
        <v>#REF!</v>
      </c>
      <c r="L10" s="183" t="e">
        <f>ProposedEquipment0!#REF!</f>
        <v>#REF!</v>
      </c>
      <c r="M10" s="183" t="e">
        <f>ProposedEquipment0!#REF!</f>
        <v>#REF!</v>
      </c>
      <c r="N10" s="184" t="e">
        <f>ProposedEquipment0!#REF!</f>
        <v>#REF!</v>
      </c>
      <c r="O10" s="184" t="e">
        <f>ProposedEquipment0!#REF!</f>
        <v>#REF!</v>
      </c>
      <c r="P10" s="185" t="e">
        <f>ProposedEquipment0!#REF!</f>
        <v>#REF!</v>
      </c>
      <c r="Q10" s="186" t="e">
        <f>ProposedEquipment0!#REF!</f>
        <v>#REF!</v>
      </c>
      <c r="R10" s="185" t="e">
        <f>ProposedEquipment0!#REF!</f>
        <v>#REF!</v>
      </c>
      <c r="S10" s="186" t="e">
        <f>ProposedEquipment0!#REF!</f>
        <v>#REF!</v>
      </c>
      <c r="T10" s="186" t="e">
        <f>ProposedEquipment0!#REF!</f>
        <v>#REF!</v>
      </c>
      <c r="U10" s="183" t="e">
        <f>ProposedEquipment0!#REF!</f>
        <v>#REF!</v>
      </c>
      <c r="V10" s="183" t="e">
        <f>ProposedEquipment0!#REF!</f>
        <v>#REF!</v>
      </c>
      <c r="W10" s="183" t="e">
        <f>ProposedEquipment0!#REF!</f>
        <v>#REF!</v>
      </c>
      <c r="X10" s="183" t="e">
        <f>ProposedEquipment0!#REF!</f>
        <v>#REF!</v>
      </c>
      <c r="Y10" s="183" t="e">
        <f>ProposedEquipment0!#REF!</f>
        <v>#REF!</v>
      </c>
      <c r="Z10" s="183" t="e">
        <f>ProposedEquipment0!#REF!</f>
        <v>#REF!</v>
      </c>
      <c r="AA10" s="183" t="e">
        <f>ProposedEquipment0!#REF!</f>
        <v>#REF!</v>
      </c>
      <c r="AB10" s="183" t="e">
        <f>ProposedEquipment0!#REF!</f>
        <v>#REF!</v>
      </c>
      <c r="AC10" s="183" t="e">
        <f>ProposedEquipment0!#REF!</f>
        <v>#REF!</v>
      </c>
      <c r="AD10" s="183" t="e">
        <f>ProposedEquipment0!#REF!</f>
        <v>#REF!</v>
      </c>
      <c r="AE10" s="272"/>
    </row>
    <row r="11" spans="1:31">
      <c r="B11" s="183" t="e">
        <f>ProposedEquipment0!#REF!</f>
        <v>#REF!</v>
      </c>
      <c r="C11" s="183" t="e">
        <f>ProposedEquipment0!#REF!</f>
        <v>#REF!</v>
      </c>
      <c r="D11" s="183" t="e">
        <f>ProposedEquipment0!#REF!</f>
        <v>#REF!</v>
      </c>
      <c r="E11" s="183" t="e">
        <f>ProposedEquipment0!#REF!</f>
        <v>#REF!</v>
      </c>
      <c r="F11" s="183" t="e">
        <f>ProposedEquipment0!#REF!</f>
        <v>#REF!</v>
      </c>
      <c r="G11" s="183" t="e">
        <f>ProposedEquipment0!#REF!</f>
        <v>#REF!</v>
      </c>
      <c r="H11" s="183" t="e">
        <f>ProposedEquipment0!#REF!</f>
        <v>#REF!</v>
      </c>
      <c r="I11" s="183" t="e">
        <f>ProposedEquipment0!#REF!</f>
        <v>#REF!</v>
      </c>
      <c r="J11" s="183" t="e">
        <f>ProposedEquipment0!#REF!</f>
        <v>#REF!</v>
      </c>
      <c r="K11" s="183" t="e">
        <f>ProposedEquipment0!#REF!</f>
        <v>#REF!</v>
      </c>
      <c r="L11" s="183" t="e">
        <f>ProposedEquipment0!#REF!</f>
        <v>#REF!</v>
      </c>
      <c r="M11" s="183" t="e">
        <f>ProposedEquipment0!#REF!</f>
        <v>#REF!</v>
      </c>
      <c r="N11" s="184" t="e">
        <f>ProposedEquipment0!#REF!</f>
        <v>#REF!</v>
      </c>
      <c r="O11" s="184" t="e">
        <f>ProposedEquipment0!#REF!</f>
        <v>#REF!</v>
      </c>
      <c r="P11" s="185" t="e">
        <f>ProposedEquipment0!#REF!</f>
        <v>#REF!</v>
      </c>
      <c r="Q11" s="186" t="e">
        <f>ProposedEquipment0!#REF!</f>
        <v>#REF!</v>
      </c>
      <c r="R11" s="185" t="e">
        <f>ProposedEquipment0!#REF!</f>
        <v>#REF!</v>
      </c>
      <c r="S11" s="186" t="e">
        <f>ProposedEquipment0!#REF!</f>
        <v>#REF!</v>
      </c>
      <c r="T11" s="186" t="e">
        <f>ProposedEquipment0!#REF!</f>
        <v>#REF!</v>
      </c>
      <c r="U11" s="183" t="e">
        <f>ProposedEquipment0!#REF!</f>
        <v>#REF!</v>
      </c>
      <c r="V11" s="183" t="e">
        <f>ProposedEquipment0!#REF!</f>
        <v>#REF!</v>
      </c>
      <c r="W11" s="183" t="e">
        <f>ProposedEquipment0!#REF!</f>
        <v>#REF!</v>
      </c>
      <c r="X11" s="183" t="e">
        <f>ProposedEquipment0!#REF!</f>
        <v>#REF!</v>
      </c>
      <c r="Y11" s="183" t="e">
        <f>ProposedEquipment0!#REF!</f>
        <v>#REF!</v>
      </c>
      <c r="Z11" s="183" t="e">
        <f>ProposedEquipment0!#REF!</f>
        <v>#REF!</v>
      </c>
      <c r="AA11" s="183" t="e">
        <f>ProposedEquipment0!#REF!</f>
        <v>#REF!</v>
      </c>
      <c r="AB11" s="183" t="e">
        <f>ProposedEquipment0!#REF!</f>
        <v>#REF!</v>
      </c>
      <c r="AC11" s="183" t="e">
        <f>ProposedEquipment0!#REF!</f>
        <v>#REF!</v>
      </c>
      <c r="AD11" s="183" t="e">
        <f>ProposedEquipment0!#REF!</f>
        <v>#REF!</v>
      </c>
      <c r="AE11" s="272"/>
    </row>
    <row r="12" spans="1:31">
      <c r="B12" s="183" t="e">
        <f>ProposedEquipment0!#REF!</f>
        <v>#REF!</v>
      </c>
      <c r="C12" s="183" t="e">
        <f>ProposedEquipment0!#REF!</f>
        <v>#REF!</v>
      </c>
      <c r="D12" s="183" t="e">
        <f>ProposedEquipment0!#REF!</f>
        <v>#REF!</v>
      </c>
      <c r="E12" s="183" t="e">
        <f>ProposedEquipment0!#REF!</f>
        <v>#REF!</v>
      </c>
      <c r="F12" s="183" t="e">
        <f>ProposedEquipment0!#REF!</f>
        <v>#REF!</v>
      </c>
      <c r="G12" s="183" t="e">
        <f>ProposedEquipment0!#REF!</f>
        <v>#REF!</v>
      </c>
      <c r="H12" s="183" t="e">
        <f>ProposedEquipment0!#REF!</f>
        <v>#REF!</v>
      </c>
      <c r="I12" s="183" t="e">
        <f>ProposedEquipment0!#REF!</f>
        <v>#REF!</v>
      </c>
      <c r="J12" s="183" t="e">
        <f>ProposedEquipment0!#REF!</f>
        <v>#REF!</v>
      </c>
      <c r="K12" s="183" t="e">
        <f>ProposedEquipment0!#REF!</f>
        <v>#REF!</v>
      </c>
      <c r="L12" s="183" t="e">
        <f>ProposedEquipment0!#REF!</f>
        <v>#REF!</v>
      </c>
      <c r="M12" s="183" t="e">
        <f>ProposedEquipment0!#REF!</f>
        <v>#REF!</v>
      </c>
      <c r="N12" s="184" t="e">
        <f>ProposedEquipment0!#REF!</f>
        <v>#REF!</v>
      </c>
      <c r="O12" s="184" t="e">
        <f>ProposedEquipment0!#REF!</f>
        <v>#REF!</v>
      </c>
      <c r="P12" s="185" t="e">
        <f>ProposedEquipment0!#REF!</f>
        <v>#REF!</v>
      </c>
      <c r="Q12" s="186" t="e">
        <f>ProposedEquipment0!#REF!</f>
        <v>#REF!</v>
      </c>
      <c r="R12" s="185" t="e">
        <f>ProposedEquipment0!#REF!</f>
        <v>#REF!</v>
      </c>
      <c r="S12" s="186" t="e">
        <f>ProposedEquipment0!#REF!</f>
        <v>#REF!</v>
      </c>
      <c r="T12" s="186" t="e">
        <f>ProposedEquipment0!#REF!</f>
        <v>#REF!</v>
      </c>
      <c r="U12" s="183" t="e">
        <f>ProposedEquipment0!#REF!</f>
        <v>#REF!</v>
      </c>
      <c r="V12" s="183" t="e">
        <f>ProposedEquipment0!#REF!</f>
        <v>#REF!</v>
      </c>
      <c r="W12" s="183" t="e">
        <f>ProposedEquipment0!#REF!</f>
        <v>#REF!</v>
      </c>
      <c r="X12" s="183" t="e">
        <f>ProposedEquipment0!#REF!</f>
        <v>#REF!</v>
      </c>
      <c r="Y12" s="183" t="e">
        <f>ProposedEquipment0!#REF!</f>
        <v>#REF!</v>
      </c>
      <c r="Z12" s="183" t="e">
        <f>ProposedEquipment0!#REF!</f>
        <v>#REF!</v>
      </c>
      <c r="AA12" s="183" t="e">
        <f>ProposedEquipment0!#REF!</f>
        <v>#REF!</v>
      </c>
      <c r="AB12" s="183" t="e">
        <f>ProposedEquipment0!#REF!</f>
        <v>#REF!</v>
      </c>
      <c r="AC12" s="183" t="e">
        <f>ProposedEquipment0!#REF!</f>
        <v>#REF!</v>
      </c>
      <c r="AD12" s="183" t="e">
        <f>ProposedEquipment0!#REF!</f>
        <v>#REF!</v>
      </c>
      <c r="AE12" s="272"/>
    </row>
    <row r="13" spans="1:31">
      <c r="B13" s="183" t="e">
        <f>ProposedEquipment0!#REF!</f>
        <v>#REF!</v>
      </c>
      <c r="C13" s="183" t="e">
        <f>ProposedEquipment0!#REF!</f>
        <v>#REF!</v>
      </c>
      <c r="D13" s="183" t="e">
        <f>ProposedEquipment0!#REF!</f>
        <v>#REF!</v>
      </c>
      <c r="E13" s="183" t="e">
        <f>ProposedEquipment0!#REF!</f>
        <v>#REF!</v>
      </c>
      <c r="F13" s="183" t="e">
        <f>ProposedEquipment0!#REF!</f>
        <v>#REF!</v>
      </c>
      <c r="G13" s="183" t="e">
        <f>ProposedEquipment0!#REF!</f>
        <v>#REF!</v>
      </c>
      <c r="H13" s="183" t="e">
        <f>ProposedEquipment0!#REF!</f>
        <v>#REF!</v>
      </c>
      <c r="I13" s="183" t="e">
        <f>ProposedEquipment0!#REF!</f>
        <v>#REF!</v>
      </c>
      <c r="J13" s="183" t="e">
        <f>ProposedEquipment0!#REF!</f>
        <v>#REF!</v>
      </c>
      <c r="K13" s="183" t="e">
        <f>ProposedEquipment0!#REF!</f>
        <v>#REF!</v>
      </c>
      <c r="L13" s="183" t="e">
        <f>ProposedEquipment0!#REF!</f>
        <v>#REF!</v>
      </c>
      <c r="M13" s="183" t="e">
        <f>ProposedEquipment0!#REF!</f>
        <v>#REF!</v>
      </c>
      <c r="N13" s="184" t="e">
        <f>ProposedEquipment0!#REF!</f>
        <v>#REF!</v>
      </c>
      <c r="O13" s="184" t="e">
        <f>ProposedEquipment0!#REF!</f>
        <v>#REF!</v>
      </c>
      <c r="P13" s="185" t="e">
        <f>ProposedEquipment0!#REF!</f>
        <v>#REF!</v>
      </c>
      <c r="Q13" s="186" t="e">
        <f>ProposedEquipment0!#REF!</f>
        <v>#REF!</v>
      </c>
      <c r="R13" s="185" t="e">
        <f>ProposedEquipment0!#REF!</f>
        <v>#REF!</v>
      </c>
      <c r="S13" s="186" t="e">
        <f>ProposedEquipment0!#REF!</f>
        <v>#REF!</v>
      </c>
      <c r="T13" s="186" t="e">
        <f>ProposedEquipment0!#REF!</f>
        <v>#REF!</v>
      </c>
      <c r="U13" s="183" t="e">
        <f>ProposedEquipment0!#REF!</f>
        <v>#REF!</v>
      </c>
      <c r="V13" s="183" t="e">
        <f>ProposedEquipment0!#REF!</f>
        <v>#REF!</v>
      </c>
      <c r="W13" s="183" t="e">
        <f>ProposedEquipment0!#REF!</f>
        <v>#REF!</v>
      </c>
      <c r="X13" s="183" t="e">
        <f>ProposedEquipment0!#REF!</f>
        <v>#REF!</v>
      </c>
      <c r="Y13" s="183" t="e">
        <f>ProposedEquipment0!#REF!</f>
        <v>#REF!</v>
      </c>
      <c r="Z13" s="183" t="e">
        <f>ProposedEquipment0!#REF!</f>
        <v>#REF!</v>
      </c>
      <c r="AA13" s="183" t="e">
        <f>ProposedEquipment0!#REF!</f>
        <v>#REF!</v>
      </c>
      <c r="AB13" s="183" t="e">
        <f>ProposedEquipment0!#REF!</f>
        <v>#REF!</v>
      </c>
      <c r="AC13" s="183" t="e">
        <f>ProposedEquipment0!#REF!</f>
        <v>#REF!</v>
      </c>
      <c r="AD13" s="183" t="e">
        <f>ProposedEquipment0!#REF!</f>
        <v>#REF!</v>
      </c>
      <c r="AE13" s="272"/>
    </row>
    <row r="14" spans="1:31">
      <c r="B14" s="183" t="e">
        <f>ProposedEquipment0!#REF!</f>
        <v>#REF!</v>
      </c>
      <c r="C14" s="183" t="e">
        <f>ProposedEquipment0!#REF!</f>
        <v>#REF!</v>
      </c>
      <c r="D14" s="183" t="e">
        <f>ProposedEquipment0!#REF!</f>
        <v>#REF!</v>
      </c>
      <c r="E14" s="183" t="e">
        <f>ProposedEquipment0!#REF!</f>
        <v>#REF!</v>
      </c>
      <c r="F14" s="183"/>
      <c r="G14" s="183"/>
      <c r="H14" s="183"/>
      <c r="I14" s="183"/>
      <c r="J14" s="183"/>
      <c r="K14" s="183"/>
      <c r="L14" s="183"/>
      <c r="M14" s="183"/>
      <c r="N14" s="184" t="e">
        <f>ProposedEquipment0!#REF!</f>
        <v>#REF!</v>
      </c>
      <c r="O14" s="184"/>
      <c r="P14" s="185" t="e">
        <f>ProposedEquipment0!#REF!</f>
        <v>#REF!</v>
      </c>
      <c r="Q14" s="186" t="e">
        <f>ProposedEquipment0!#REF!</f>
        <v>#REF!</v>
      </c>
      <c r="R14" s="185" t="e">
        <f>ProposedEquipment0!#REF!</f>
        <v>#REF!</v>
      </c>
      <c r="S14" s="186" t="e">
        <f>ProposedEquipment0!#REF!</f>
        <v>#REF!</v>
      </c>
      <c r="T14" s="186" t="e">
        <f>ProposedEquipment0!#REF!</f>
        <v>#REF!</v>
      </c>
      <c r="U14" s="183" t="e">
        <f>ProposedEquipment0!#REF!</f>
        <v>#REF!</v>
      </c>
      <c r="V14" s="183" t="e">
        <f>ProposedEquipment0!#REF!</f>
        <v>#REF!</v>
      </c>
      <c r="W14" s="183" t="e">
        <f>ProposedEquipment0!#REF!</f>
        <v>#REF!</v>
      </c>
      <c r="X14" s="183" t="e">
        <f>ProposedEquipment0!#REF!</f>
        <v>#REF!</v>
      </c>
      <c r="Y14" s="183" t="e">
        <f>ProposedEquipment0!#REF!</f>
        <v>#REF!</v>
      </c>
      <c r="Z14" s="183" t="e">
        <f>ProposedEquipment0!#REF!</f>
        <v>#REF!</v>
      </c>
      <c r="AA14" s="183" t="e">
        <f>ProposedEquipment0!#REF!</f>
        <v>#REF!</v>
      </c>
      <c r="AB14" s="183" t="e">
        <f>ProposedEquipment0!#REF!</f>
        <v>#REF!</v>
      </c>
      <c r="AC14" s="183" t="e">
        <f>ProposedEquipment0!#REF!</f>
        <v>#REF!</v>
      </c>
      <c r="AD14" s="183" t="e">
        <f>ProposedEquipment0!#REF!</f>
        <v>#REF!</v>
      </c>
      <c r="AE14" s="272"/>
    </row>
    <row r="15" spans="1:31">
      <c r="B15" s="183" t="e">
        <f>ProposedEquipment0!#REF!</f>
        <v>#REF!</v>
      </c>
      <c r="C15" s="183" t="e">
        <f>ProposedEquipment0!#REF!</f>
        <v>#REF!</v>
      </c>
      <c r="D15" s="183" t="e">
        <f>ProposedEquipment0!#REF!</f>
        <v>#REF!</v>
      </c>
      <c r="E15" s="183" t="e">
        <f>ProposedEquipment0!#REF!</f>
        <v>#REF!</v>
      </c>
      <c r="F15" s="183"/>
      <c r="G15" s="183"/>
      <c r="H15" s="183"/>
      <c r="I15" s="183"/>
      <c r="J15" s="183"/>
      <c r="K15" s="183"/>
      <c r="L15" s="183"/>
      <c r="M15" s="183"/>
      <c r="N15" s="184" t="e">
        <f>ProposedEquipment0!#REF!</f>
        <v>#REF!</v>
      </c>
      <c r="O15" s="184"/>
      <c r="P15" s="185" t="e">
        <f>ProposedEquipment0!#REF!</f>
        <v>#REF!</v>
      </c>
      <c r="Q15" s="186" t="e">
        <f>ProposedEquipment0!#REF!</f>
        <v>#REF!</v>
      </c>
      <c r="R15" s="185" t="e">
        <f>ProposedEquipment0!#REF!</f>
        <v>#REF!</v>
      </c>
      <c r="S15" s="186" t="e">
        <f>ProposedEquipment0!#REF!</f>
        <v>#REF!</v>
      </c>
      <c r="T15" s="186" t="e">
        <f>ProposedEquipment0!#REF!</f>
        <v>#REF!</v>
      </c>
      <c r="U15" s="183" t="e">
        <f>ProposedEquipment0!#REF!</f>
        <v>#REF!</v>
      </c>
      <c r="V15" s="183" t="e">
        <f>ProposedEquipment0!#REF!</f>
        <v>#REF!</v>
      </c>
      <c r="W15" s="183" t="e">
        <f>ProposedEquipment0!#REF!</f>
        <v>#REF!</v>
      </c>
      <c r="X15" s="183" t="e">
        <f>ProposedEquipment0!#REF!</f>
        <v>#REF!</v>
      </c>
      <c r="Y15" s="183" t="e">
        <f>ProposedEquipment0!#REF!</f>
        <v>#REF!</v>
      </c>
      <c r="Z15" s="183" t="e">
        <f>ProposedEquipment0!#REF!</f>
        <v>#REF!</v>
      </c>
      <c r="AA15" s="183" t="e">
        <f>ProposedEquipment0!#REF!</f>
        <v>#REF!</v>
      </c>
      <c r="AB15" s="183" t="e">
        <f>ProposedEquipment0!#REF!</f>
        <v>#REF!</v>
      </c>
      <c r="AC15" s="183" t="e">
        <f>ProposedEquipment0!#REF!</f>
        <v>#REF!</v>
      </c>
      <c r="AD15" s="183" t="e">
        <f>ProposedEquipment0!#REF!</f>
        <v>#REF!</v>
      </c>
      <c r="AE15" s="272"/>
    </row>
    <row r="16" spans="1:31">
      <c r="B16" s="183" t="e">
        <f>ProposedEquipment0!#REF!</f>
        <v>#REF!</v>
      </c>
      <c r="C16" s="183" t="e">
        <f>ProposedEquipment0!#REF!</f>
        <v>#REF!</v>
      </c>
      <c r="D16" s="183" t="e">
        <f>ProposedEquipment0!#REF!</f>
        <v>#REF!</v>
      </c>
      <c r="E16" s="183" t="e">
        <f>ProposedEquipment0!#REF!</f>
        <v>#REF!</v>
      </c>
      <c r="F16" s="183"/>
      <c r="G16" s="183"/>
      <c r="H16" s="183"/>
      <c r="I16" s="183"/>
      <c r="J16" s="183"/>
      <c r="K16" s="183"/>
      <c r="L16" s="183"/>
      <c r="M16" s="183"/>
      <c r="N16" s="184" t="e">
        <f>ProposedEquipment0!#REF!</f>
        <v>#REF!</v>
      </c>
      <c r="O16" s="184"/>
      <c r="P16" s="185" t="e">
        <f>ProposedEquipment0!#REF!</f>
        <v>#REF!</v>
      </c>
      <c r="Q16" s="186" t="e">
        <f>ProposedEquipment0!#REF!</f>
        <v>#REF!</v>
      </c>
      <c r="R16" s="185" t="e">
        <f>ProposedEquipment0!#REF!</f>
        <v>#REF!</v>
      </c>
      <c r="S16" s="186" t="e">
        <f>ProposedEquipment0!#REF!</f>
        <v>#REF!</v>
      </c>
      <c r="T16" s="186" t="e">
        <f>ProposedEquipment0!#REF!</f>
        <v>#REF!</v>
      </c>
      <c r="U16" s="183" t="e">
        <f>ProposedEquipment0!#REF!</f>
        <v>#REF!</v>
      </c>
      <c r="V16" s="183" t="e">
        <f>ProposedEquipment0!#REF!</f>
        <v>#REF!</v>
      </c>
      <c r="W16" s="183" t="e">
        <f>ProposedEquipment0!#REF!</f>
        <v>#REF!</v>
      </c>
      <c r="X16" s="183" t="e">
        <f>ProposedEquipment0!#REF!</f>
        <v>#REF!</v>
      </c>
      <c r="Y16" s="183" t="e">
        <f>ProposedEquipment0!#REF!</f>
        <v>#REF!</v>
      </c>
      <c r="Z16" s="183" t="e">
        <f>ProposedEquipment0!#REF!</f>
        <v>#REF!</v>
      </c>
      <c r="AA16" s="183" t="e">
        <f>ProposedEquipment0!#REF!</f>
        <v>#REF!</v>
      </c>
      <c r="AB16" s="183" t="e">
        <f>ProposedEquipment0!#REF!</f>
        <v>#REF!</v>
      </c>
      <c r="AC16" s="183" t="e">
        <f>ProposedEquipment0!#REF!</f>
        <v>#REF!</v>
      </c>
      <c r="AD16" s="183" t="e">
        <f>ProposedEquipment0!#REF!</f>
        <v>#REF!</v>
      </c>
      <c r="AE16" s="272"/>
    </row>
    <row r="17" spans="2:31">
      <c r="B17" s="183" t="e">
        <f>ProposedEquipment0!#REF!</f>
        <v>#REF!</v>
      </c>
      <c r="C17" s="183" t="e">
        <f>ProposedEquipment0!#REF!</f>
        <v>#REF!</v>
      </c>
      <c r="D17" s="183" t="e">
        <f>ProposedEquipment0!#REF!</f>
        <v>#REF!</v>
      </c>
      <c r="E17" s="183" t="e">
        <f>ProposedEquipment0!#REF!</f>
        <v>#REF!</v>
      </c>
      <c r="F17" s="183"/>
      <c r="G17" s="183"/>
      <c r="H17" s="183"/>
      <c r="I17" s="183"/>
      <c r="J17" s="183"/>
      <c r="K17" s="183"/>
      <c r="L17" s="183"/>
      <c r="M17" s="183"/>
      <c r="N17" s="184" t="e">
        <f>ProposedEquipment0!#REF!</f>
        <v>#REF!</v>
      </c>
      <c r="O17" s="184"/>
      <c r="P17" s="185" t="e">
        <f>ProposedEquipment0!#REF!</f>
        <v>#REF!</v>
      </c>
      <c r="Q17" s="186" t="e">
        <f>ProposedEquipment0!#REF!</f>
        <v>#REF!</v>
      </c>
      <c r="R17" s="185" t="e">
        <f>ProposedEquipment0!#REF!</f>
        <v>#REF!</v>
      </c>
      <c r="S17" s="186" t="e">
        <f>ProposedEquipment0!#REF!</f>
        <v>#REF!</v>
      </c>
      <c r="T17" s="186" t="e">
        <f>ProposedEquipment0!#REF!</f>
        <v>#REF!</v>
      </c>
      <c r="U17" s="183" t="e">
        <f>ProposedEquipment0!#REF!</f>
        <v>#REF!</v>
      </c>
      <c r="V17" s="183" t="e">
        <f>ProposedEquipment0!#REF!</f>
        <v>#REF!</v>
      </c>
      <c r="W17" s="183" t="e">
        <f>ProposedEquipment0!#REF!</f>
        <v>#REF!</v>
      </c>
      <c r="X17" s="183" t="e">
        <f>ProposedEquipment0!#REF!</f>
        <v>#REF!</v>
      </c>
      <c r="Y17" s="183" t="e">
        <f>ProposedEquipment0!#REF!</f>
        <v>#REF!</v>
      </c>
      <c r="Z17" s="183" t="e">
        <f>ProposedEquipment0!#REF!</f>
        <v>#REF!</v>
      </c>
      <c r="AA17" s="183" t="e">
        <f>ProposedEquipment0!#REF!</f>
        <v>#REF!</v>
      </c>
      <c r="AB17" s="183" t="e">
        <f>ProposedEquipment0!#REF!</f>
        <v>#REF!</v>
      </c>
      <c r="AC17" s="183" t="e">
        <f>ProposedEquipment0!#REF!</f>
        <v>#REF!</v>
      </c>
      <c r="AD17" s="183" t="e">
        <f>ProposedEquipment0!#REF!</f>
        <v>#REF!</v>
      </c>
      <c r="AE17" s="272"/>
    </row>
    <row r="18" spans="2:31">
      <c r="B18" s="183" t="e">
        <f>ProposedEquipment0!#REF!</f>
        <v>#REF!</v>
      </c>
      <c r="C18" s="183" t="e">
        <f>ProposedEquipment0!#REF!</f>
        <v>#REF!</v>
      </c>
      <c r="D18" s="183" t="e">
        <f>ProposedEquipment0!#REF!</f>
        <v>#REF!</v>
      </c>
      <c r="E18" s="183" t="e">
        <f>ProposedEquipment0!#REF!</f>
        <v>#REF!</v>
      </c>
      <c r="F18" s="183"/>
      <c r="G18" s="183"/>
      <c r="H18" s="183"/>
      <c r="I18" s="183"/>
      <c r="J18" s="183"/>
      <c r="K18" s="183"/>
      <c r="L18" s="183"/>
      <c r="M18" s="183"/>
      <c r="N18" s="184" t="e">
        <f>ProposedEquipment0!#REF!</f>
        <v>#REF!</v>
      </c>
      <c r="O18" s="184"/>
      <c r="P18" s="185" t="e">
        <f>ProposedEquipment0!#REF!</f>
        <v>#REF!</v>
      </c>
      <c r="Q18" s="186" t="e">
        <f>ProposedEquipment0!#REF!</f>
        <v>#REF!</v>
      </c>
      <c r="R18" s="185" t="e">
        <f>ProposedEquipment0!#REF!</f>
        <v>#REF!</v>
      </c>
      <c r="S18" s="186" t="e">
        <f>ProposedEquipment0!#REF!</f>
        <v>#REF!</v>
      </c>
      <c r="T18" s="186" t="e">
        <f>ProposedEquipment0!#REF!</f>
        <v>#REF!</v>
      </c>
      <c r="U18" s="183" t="e">
        <f>ProposedEquipment0!#REF!</f>
        <v>#REF!</v>
      </c>
      <c r="V18" s="183" t="e">
        <f>ProposedEquipment0!#REF!</f>
        <v>#REF!</v>
      </c>
      <c r="W18" s="183" t="e">
        <f>ProposedEquipment0!#REF!</f>
        <v>#REF!</v>
      </c>
      <c r="X18" s="183" t="e">
        <f>ProposedEquipment0!#REF!</f>
        <v>#REF!</v>
      </c>
      <c r="Y18" s="183" t="e">
        <f>ProposedEquipment0!#REF!</f>
        <v>#REF!</v>
      </c>
      <c r="Z18" s="183" t="e">
        <f>ProposedEquipment0!#REF!</f>
        <v>#REF!</v>
      </c>
      <c r="AA18" s="183" t="e">
        <f>ProposedEquipment0!#REF!</f>
        <v>#REF!</v>
      </c>
      <c r="AB18" s="183" t="e">
        <f>ProposedEquipment0!#REF!</f>
        <v>#REF!</v>
      </c>
      <c r="AC18" s="183" t="e">
        <f>ProposedEquipment0!#REF!</f>
        <v>#REF!</v>
      </c>
      <c r="AD18" s="183" t="e">
        <f>ProposedEquipment0!#REF!</f>
        <v>#REF!</v>
      </c>
      <c r="AE18" s="272"/>
    </row>
    <row r="19" spans="2:31">
      <c r="B19" s="183" t="e">
        <f>ProposedEquipment0!#REF!</f>
        <v>#REF!</v>
      </c>
      <c r="C19" s="183" t="e">
        <f>ProposedEquipment0!#REF!</f>
        <v>#REF!</v>
      </c>
      <c r="D19" s="183" t="e">
        <f>ProposedEquipment0!#REF!</f>
        <v>#REF!</v>
      </c>
      <c r="E19" s="183" t="e">
        <f>ProposedEquipment0!#REF!</f>
        <v>#REF!</v>
      </c>
      <c r="F19" s="183"/>
      <c r="G19" s="183"/>
      <c r="H19" s="183"/>
      <c r="I19" s="183"/>
      <c r="J19" s="183"/>
      <c r="K19" s="183"/>
      <c r="L19" s="183"/>
      <c r="M19" s="183"/>
      <c r="N19" s="184" t="e">
        <f>ProposedEquipment0!#REF!</f>
        <v>#REF!</v>
      </c>
      <c r="O19" s="184"/>
      <c r="P19" s="185" t="e">
        <f>ProposedEquipment0!#REF!</f>
        <v>#REF!</v>
      </c>
      <c r="Q19" s="186" t="e">
        <f>ProposedEquipment0!#REF!</f>
        <v>#REF!</v>
      </c>
      <c r="R19" s="185" t="e">
        <f>ProposedEquipment0!#REF!</f>
        <v>#REF!</v>
      </c>
      <c r="S19" s="186" t="e">
        <f>ProposedEquipment0!#REF!</f>
        <v>#REF!</v>
      </c>
      <c r="T19" s="186" t="e">
        <f>ProposedEquipment0!#REF!</f>
        <v>#REF!</v>
      </c>
      <c r="U19" s="183" t="e">
        <f>ProposedEquipment0!#REF!</f>
        <v>#REF!</v>
      </c>
      <c r="V19" s="183" t="e">
        <f>ProposedEquipment0!#REF!</f>
        <v>#REF!</v>
      </c>
      <c r="W19" s="183" t="e">
        <f>ProposedEquipment0!#REF!</f>
        <v>#REF!</v>
      </c>
      <c r="X19" s="183" t="e">
        <f>ProposedEquipment0!#REF!</f>
        <v>#REF!</v>
      </c>
      <c r="Y19" s="183" t="e">
        <f>ProposedEquipment0!#REF!</f>
        <v>#REF!</v>
      </c>
      <c r="Z19" s="183" t="e">
        <f>ProposedEquipment0!#REF!</f>
        <v>#REF!</v>
      </c>
      <c r="AA19" s="183" t="e">
        <f>ProposedEquipment0!#REF!</f>
        <v>#REF!</v>
      </c>
      <c r="AB19" s="183" t="e">
        <f>ProposedEquipment0!#REF!</f>
        <v>#REF!</v>
      </c>
      <c r="AC19" s="183" t="e">
        <f>ProposedEquipment0!#REF!</f>
        <v>#REF!</v>
      </c>
      <c r="AD19" s="183" t="e">
        <f>ProposedEquipment0!#REF!</f>
        <v>#REF!</v>
      </c>
      <c r="AE19" s="272"/>
    </row>
    <row r="20" spans="2:31">
      <c r="B20" s="183" t="e">
        <f>ProposedEquipment0!#REF!</f>
        <v>#REF!</v>
      </c>
      <c r="C20" s="183" t="e">
        <f>ProposedEquipment0!#REF!</f>
        <v>#REF!</v>
      </c>
      <c r="D20" s="183" t="e">
        <f>ProposedEquipment0!#REF!</f>
        <v>#REF!</v>
      </c>
      <c r="E20" s="183" t="e">
        <f>ProposedEquipment0!#REF!</f>
        <v>#REF!</v>
      </c>
      <c r="F20" s="183"/>
      <c r="G20" s="183"/>
      <c r="H20" s="183"/>
      <c r="I20" s="183"/>
      <c r="J20" s="183"/>
      <c r="K20" s="183"/>
      <c r="L20" s="183"/>
      <c r="M20" s="183"/>
      <c r="N20" s="184" t="e">
        <f>ProposedEquipment0!#REF!</f>
        <v>#REF!</v>
      </c>
      <c r="O20" s="184"/>
      <c r="P20" s="185" t="e">
        <f>ProposedEquipment0!#REF!</f>
        <v>#REF!</v>
      </c>
      <c r="Q20" s="186" t="e">
        <f>ProposedEquipment0!#REF!</f>
        <v>#REF!</v>
      </c>
      <c r="R20" s="185" t="e">
        <f>ProposedEquipment0!#REF!</f>
        <v>#REF!</v>
      </c>
      <c r="S20" s="186" t="e">
        <f>ProposedEquipment0!#REF!</f>
        <v>#REF!</v>
      </c>
      <c r="T20" s="186" t="e">
        <f>ProposedEquipment0!#REF!</f>
        <v>#REF!</v>
      </c>
      <c r="U20" s="183" t="e">
        <f>ProposedEquipment0!#REF!</f>
        <v>#REF!</v>
      </c>
      <c r="V20" s="183" t="e">
        <f>ProposedEquipment0!#REF!</f>
        <v>#REF!</v>
      </c>
      <c r="W20" s="183" t="e">
        <f>ProposedEquipment0!#REF!</f>
        <v>#REF!</v>
      </c>
      <c r="X20" s="183" t="e">
        <f>ProposedEquipment0!#REF!</f>
        <v>#REF!</v>
      </c>
      <c r="Y20" s="183" t="e">
        <f>ProposedEquipment0!#REF!</f>
        <v>#REF!</v>
      </c>
      <c r="Z20" s="183" t="e">
        <f>ProposedEquipment0!#REF!</f>
        <v>#REF!</v>
      </c>
      <c r="AA20" s="183" t="e">
        <f>ProposedEquipment0!#REF!</f>
        <v>#REF!</v>
      </c>
      <c r="AB20" s="183" t="e">
        <f>ProposedEquipment0!#REF!</f>
        <v>#REF!</v>
      </c>
      <c r="AC20" s="183" t="e">
        <f>ProposedEquipment0!#REF!</f>
        <v>#REF!</v>
      </c>
      <c r="AD20" s="183" t="e">
        <f>ProposedEquipment0!#REF!</f>
        <v>#REF!</v>
      </c>
      <c r="AE20" s="272"/>
    </row>
    <row r="21" spans="2:31">
      <c r="B21" s="183" t="e">
        <f>ProposedEquipment0!#REF!</f>
        <v>#REF!</v>
      </c>
      <c r="C21" s="183" t="e">
        <f>ProposedEquipment0!#REF!</f>
        <v>#REF!</v>
      </c>
      <c r="D21" s="183" t="e">
        <f>ProposedEquipment0!#REF!</f>
        <v>#REF!</v>
      </c>
      <c r="E21" s="183" t="e">
        <f>ProposedEquipment0!#REF!</f>
        <v>#REF!</v>
      </c>
      <c r="F21" s="183"/>
      <c r="G21" s="183"/>
      <c r="H21" s="183"/>
      <c r="I21" s="183"/>
      <c r="J21" s="183"/>
      <c r="K21" s="183"/>
      <c r="L21" s="183"/>
      <c r="M21" s="183"/>
      <c r="N21" s="184" t="e">
        <f>ProposedEquipment0!#REF!</f>
        <v>#REF!</v>
      </c>
      <c r="O21" s="184"/>
      <c r="P21" s="185" t="e">
        <f>ProposedEquipment0!#REF!</f>
        <v>#REF!</v>
      </c>
      <c r="Q21" s="186" t="e">
        <f>ProposedEquipment0!#REF!</f>
        <v>#REF!</v>
      </c>
      <c r="R21" s="185" t="e">
        <f>ProposedEquipment0!#REF!</f>
        <v>#REF!</v>
      </c>
      <c r="S21" s="186" t="e">
        <f>ProposedEquipment0!#REF!</f>
        <v>#REF!</v>
      </c>
      <c r="T21" s="186" t="e">
        <f>ProposedEquipment0!#REF!</f>
        <v>#REF!</v>
      </c>
      <c r="U21" s="183" t="e">
        <f>ProposedEquipment0!#REF!</f>
        <v>#REF!</v>
      </c>
      <c r="V21" s="183" t="e">
        <f>ProposedEquipment0!#REF!</f>
        <v>#REF!</v>
      </c>
      <c r="W21" s="183" t="e">
        <f>ProposedEquipment0!#REF!</f>
        <v>#REF!</v>
      </c>
      <c r="X21" s="183" t="e">
        <f>ProposedEquipment0!#REF!</f>
        <v>#REF!</v>
      </c>
      <c r="Y21" s="183" t="e">
        <f>ProposedEquipment0!#REF!</f>
        <v>#REF!</v>
      </c>
      <c r="Z21" s="183" t="e">
        <f>ProposedEquipment0!#REF!</f>
        <v>#REF!</v>
      </c>
      <c r="AA21" s="183" t="e">
        <f>ProposedEquipment0!#REF!</f>
        <v>#REF!</v>
      </c>
      <c r="AB21" s="183" t="e">
        <f>ProposedEquipment0!#REF!</f>
        <v>#REF!</v>
      </c>
      <c r="AC21" s="183" t="e">
        <f>ProposedEquipment0!#REF!</f>
        <v>#REF!</v>
      </c>
      <c r="AD21" s="183" t="e">
        <f>ProposedEquipment0!#REF!</f>
        <v>#REF!</v>
      </c>
      <c r="AE21" s="272"/>
    </row>
    <row r="22" spans="2:31">
      <c r="B22" s="183" t="e">
        <f>ProposedEquipment0!#REF!</f>
        <v>#REF!</v>
      </c>
      <c r="C22" s="183" t="e">
        <f>ProposedEquipment0!#REF!</f>
        <v>#REF!</v>
      </c>
      <c r="D22" s="183" t="e">
        <f>ProposedEquipment0!#REF!</f>
        <v>#REF!</v>
      </c>
      <c r="E22" s="183" t="e">
        <f>ProposedEquipment0!#REF!</f>
        <v>#REF!</v>
      </c>
      <c r="F22" s="183"/>
      <c r="G22" s="183"/>
      <c r="H22" s="183"/>
      <c r="I22" s="183"/>
      <c r="J22" s="183"/>
      <c r="K22" s="183"/>
      <c r="L22" s="183"/>
      <c r="M22" s="183"/>
      <c r="N22" s="184" t="e">
        <f>ProposedEquipment0!#REF!</f>
        <v>#REF!</v>
      </c>
      <c r="O22" s="184"/>
      <c r="P22" s="185" t="e">
        <f>ProposedEquipment0!#REF!</f>
        <v>#REF!</v>
      </c>
      <c r="Q22" s="186" t="e">
        <f>ProposedEquipment0!#REF!</f>
        <v>#REF!</v>
      </c>
      <c r="R22" s="185" t="e">
        <f>ProposedEquipment0!#REF!</f>
        <v>#REF!</v>
      </c>
      <c r="S22" s="186" t="e">
        <f>ProposedEquipment0!#REF!</f>
        <v>#REF!</v>
      </c>
      <c r="T22" s="186" t="e">
        <f>ProposedEquipment0!#REF!</f>
        <v>#REF!</v>
      </c>
      <c r="U22" s="183" t="e">
        <f>ProposedEquipment0!#REF!</f>
        <v>#REF!</v>
      </c>
      <c r="V22" s="183" t="e">
        <f>ProposedEquipment0!#REF!</f>
        <v>#REF!</v>
      </c>
      <c r="W22" s="183" t="e">
        <f>ProposedEquipment0!#REF!</f>
        <v>#REF!</v>
      </c>
      <c r="X22" s="183" t="e">
        <f>ProposedEquipment0!#REF!</f>
        <v>#REF!</v>
      </c>
      <c r="Y22" s="183" t="e">
        <f>ProposedEquipment0!#REF!</f>
        <v>#REF!</v>
      </c>
      <c r="Z22" s="183" t="e">
        <f>ProposedEquipment0!#REF!</f>
        <v>#REF!</v>
      </c>
      <c r="AA22" s="183" t="e">
        <f>ProposedEquipment0!#REF!</f>
        <v>#REF!</v>
      </c>
      <c r="AB22" s="183" t="e">
        <f>ProposedEquipment0!#REF!</f>
        <v>#REF!</v>
      </c>
      <c r="AC22" s="183" t="e">
        <f>ProposedEquipment0!#REF!</f>
        <v>#REF!</v>
      </c>
      <c r="AD22" s="183" t="e">
        <f>ProposedEquipment0!#REF!</f>
        <v>#REF!</v>
      </c>
      <c r="AE22" s="272"/>
    </row>
    <row r="23" spans="2:31">
      <c r="B23" s="183" t="e">
        <f>ProposedEquipment0!#REF!</f>
        <v>#REF!</v>
      </c>
      <c r="C23" s="183" t="e">
        <f>ProposedEquipment0!#REF!</f>
        <v>#REF!</v>
      </c>
      <c r="D23" s="183" t="e">
        <f>ProposedEquipment0!#REF!</f>
        <v>#REF!</v>
      </c>
      <c r="E23" s="183" t="e">
        <f>ProposedEquipment0!#REF!</f>
        <v>#REF!</v>
      </c>
      <c r="F23" s="183"/>
      <c r="G23" s="183"/>
      <c r="H23" s="183"/>
      <c r="I23" s="183"/>
      <c r="J23" s="183"/>
      <c r="K23" s="183"/>
      <c r="L23" s="183"/>
      <c r="M23" s="183"/>
      <c r="N23" s="184" t="e">
        <f>ProposedEquipment0!#REF!</f>
        <v>#REF!</v>
      </c>
      <c r="O23" s="184"/>
      <c r="P23" s="185" t="e">
        <f>ProposedEquipment0!#REF!</f>
        <v>#REF!</v>
      </c>
      <c r="Q23" s="186" t="e">
        <f>ProposedEquipment0!#REF!</f>
        <v>#REF!</v>
      </c>
      <c r="R23" s="185" t="e">
        <f>ProposedEquipment0!#REF!</f>
        <v>#REF!</v>
      </c>
      <c r="S23" s="186" t="e">
        <f>ProposedEquipment0!#REF!</f>
        <v>#REF!</v>
      </c>
      <c r="T23" s="186" t="e">
        <f>ProposedEquipment0!#REF!</f>
        <v>#REF!</v>
      </c>
      <c r="U23" s="183" t="e">
        <f>ProposedEquipment0!#REF!</f>
        <v>#REF!</v>
      </c>
      <c r="V23" s="183" t="e">
        <f>ProposedEquipment0!#REF!</f>
        <v>#REF!</v>
      </c>
      <c r="W23" s="183" t="e">
        <f>ProposedEquipment0!#REF!</f>
        <v>#REF!</v>
      </c>
      <c r="X23" s="183" t="e">
        <f>ProposedEquipment0!#REF!</f>
        <v>#REF!</v>
      </c>
      <c r="Y23" s="183" t="e">
        <f>ProposedEquipment0!#REF!</f>
        <v>#REF!</v>
      </c>
      <c r="Z23" s="183" t="e">
        <f>ProposedEquipment0!#REF!</f>
        <v>#REF!</v>
      </c>
      <c r="AA23" s="183" t="e">
        <f>ProposedEquipment0!#REF!</f>
        <v>#REF!</v>
      </c>
      <c r="AB23" s="183" t="e">
        <f>ProposedEquipment0!#REF!</f>
        <v>#REF!</v>
      </c>
      <c r="AC23" s="183" t="e">
        <f>ProposedEquipment0!#REF!</f>
        <v>#REF!</v>
      </c>
      <c r="AD23" s="183" t="e">
        <f>ProposedEquipment0!#REF!</f>
        <v>#REF!</v>
      </c>
      <c r="AE23" s="272"/>
    </row>
    <row r="24" spans="2:31">
      <c r="B24" s="183" t="e">
        <f>ProposedEquipment0!#REF!</f>
        <v>#REF!</v>
      </c>
      <c r="C24" s="183" t="e">
        <f>ProposedEquipment0!#REF!</f>
        <v>#REF!</v>
      </c>
      <c r="D24" s="183" t="e">
        <f>ProposedEquipment0!#REF!</f>
        <v>#REF!</v>
      </c>
      <c r="E24" s="183" t="e">
        <f>ProposedEquipment0!#REF!</f>
        <v>#REF!</v>
      </c>
      <c r="F24" s="183"/>
      <c r="G24" s="183"/>
      <c r="H24" s="183"/>
      <c r="I24" s="183"/>
      <c r="J24" s="183"/>
      <c r="K24" s="183"/>
      <c r="L24" s="183"/>
      <c r="M24" s="183"/>
      <c r="N24" s="184" t="e">
        <f>ProposedEquipment0!#REF!</f>
        <v>#REF!</v>
      </c>
      <c r="O24" s="184"/>
      <c r="P24" s="185" t="e">
        <f>ProposedEquipment0!#REF!</f>
        <v>#REF!</v>
      </c>
      <c r="Q24" s="186" t="e">
        <f>ProposedEquipment0!#REF!</f>
        <v>#REF!</v>
      </c>
      <c r="R24" s="185" t="e">
        <f>ProposedEquipment0!#REF!</f>
        <v>#REF!</v>
      </c>
      <c r="S24" s="186" t="e">
        <f>ProposedEquipment0!#REF!</f>
        <v>#REF!</v>
      </c>
      <c r="T24" s="186" t="e">
        <f>ProposedEquipment0!#REF!</f>
        <v>#REF!</v>
      </c>
      <c r="U24" s="183" t="e">
        <f>ProposedEquipment0!#REF!</f>
        <v>#REF!</v>
      </c>
      <c r="V24" s="183" t="e">
        <f>ProposedEquipment0!#REF!</f>
        <v>#REF!</v>
      </c>
      <c r="W24" s="183" t="e">
        <f>ProposedEquipment0!#REF!</f>
        <v>#REF!</v>
      </c>
      <c r="X24" s="183" t="e">
        <f>ProposedEquipment0!#REF!</f>
        <v>#REF!</v>
      </c>
      <c r="Y24" s="183" t="e">
        <f>ProposedEquipment0!#REF!</f>
        <v>#REF!</v>
      </c>
      <c r="Z24" s="183" t="e">
        <f>ProposedEquipment0!#REF!</f>
        <v>#REF!</v>
      </c>
      <c r="AA24" s="183" t="e">
        <f>ProposedEquipment0!#REF!</f>
        <v>#REF!</v>
      </c>
      <c r="AB24" s="183" t="e">
        <f>ProposedEquipment0!#REF!</f>
        <v>#REF!</v>
      </c>
      <c r="AC24" s="183" t="e">
        <f>ProposedEquipment0!#REF!</f>
        <v>#REF!</v>
      </c>
      <c r="AD24" s="183" t="e">
        <f>ProposedEquipment0!#REF!</f>
        <v>#REF!</v>
      </c>
      <c r="AE24" s="272"/>
    </row>
    <row r="25" spans="2:31">
      <c r="B25" s="183" t="e">
        <f>ProposedEquipment0!#REF!</f>
        <v>#REF!</v>
      </c>
      <c r="C25" s="183" t="e">
        <f>ProposedEquipment0!#REF!</f>
        <v>#REF!</v>
      </c>
      <c r="D25" s="183" t="e">
        <f>ProposedEquipment0!#REF!</f>
        <v>#REF!</v>
      </c>
      <c r="E25" s="183" t="e">
        <f>ProposedEquipment0!#REF!</f>
        <v>#REF!</v>
      </c>
      <c r="F25" s="183"/>
      <c r="G25" s="183"/>
      <c r="H25" s="183"/>
      <c r="I25" s="183"/>
      <c r="J25" s="183"/>
      <c r="K25" s="183"/>
      <c r="L25" s="183"/>
      <c r="M25" s="183"/>
      <c r="N25" s="184" t="e">
        <f>ProposedEquipment0!#REF!</f>
        <v>#REF!</v>
      </c>
      <c r="O25" s="184"/>
      <c r="P25" s="185" t="e">
        <f>ProposedEquipment0!#REF!</f>
        <v>#REF!</v>
      </c>
      <c r="Q25" s="186" t="e">
        <f>ProposedEquipment0!#REF!</f>
        <v>#REF!</v>
      </c>
      <c r="R25" s="185" t="e">
        <f>ProposedEquipment0!#REF!</f>
        <v>#REF!</v>
      </c>
      <c r="S25" s="186" t="e">
        <f>ProposedEquipment0!#REF!</f>
        <v>#REF!</v>
      </c>
      <c r="T25" s="186" t="e">
        <f>ProposedEquipment0!#REF!</f>
        <v>#REF!</v>
      </c>
      <c r="U25" s="183" t="e">
        <f>ProposedEquipment0!#REF!</f>
        <v>#REF!</v>
      </c>
      <c r="V25" s="183" t="e">
        <f>ProposedEquipment0!#REF!</f>
        <v>#REF!</v>
      </c>
      <c r="W25" s="183" t="e">
        <f>ProposedEquipment0!#REF!</f>
        <v>#REF!</v>
      </c>
      <c r="X25" s="183" t="e">
        <f>ProposedEquipment0!#REF!</f>
        <v>#REF!</v>
      </c>
      <c r="Y25" s="183" t="e">
        <f>ProposedEquipment0!#REF!</f>
        <v>#REF!</v>
      </c>
      <c r="Z25" s="183" t="e">
        <f>ProposedEquipment0!#REF!</f>
        <v>#REF!</v>
      </c>
      <c r="AA25" s="183" t="e">
        <f>ProposedEquipment0!#REF!</f>
        <v>#REF!</v>
      </c>
      <c r="AB25" s="183" t="e">
        <f>ProposedEquipment0!#REF!</f>
        <v>#REF!</v>
      </c>
      <c r="AC25" s="183" t="e">
        <f>ProposedEquipment0!#REF!</f>
        <v>#REF!</v>
      </c>
      <c r="AD25" s="183" t="e">
        <f>ProposedEquipment0!#REF!</f>
        <v>#REF!</v>
      </c>
      <c r="AE25" s="272"/>
    </row>
    <row r="32" spans="2:31">
      <c r="B32" s="438" t="s">
        <v>200</v>
      </c>
    </row>
    <row r="33" spans="2:28">
      <c r="B33" s="182" t="s">
        <v>34</v>
      </c>
      <c r="C33" s="182" t="s">
        <v>114</v>
      </c>
      <c r="D33" s="182" t="s">
        <v>145</v>
      </c>
      <c r="E33" s="182" t="s">
        <v>38</v>
      </c>
      <c r="F33" s="182" t="s">
        <v>177</v>
      </c>
      <c r="G33" s="182" t="s">
        <v>651</v>
      </c>
      <c r="H33" s="182" t="s">
        <v>645</v>
      </c>
      <c r="I33" s="182" t="s">
        <v>563</v>
      </c>
      <c r="J33" s="182" t="s">
        <v>378</v>
      </c>
      <c r="K33" s="182" t="s">
        <v>567</v>
      </c>
      <c r="L33" s="182" t="s">
        <v>666</v>
      </c>
      <c r="M33" s="182" t="s">
        <v>646</v>
      </c>
      <c r="N33" s="182" t="s">
        <v>565</v>
      </c>
      <c r="O33" s="182" t="s">
        <v>380</v>
      </c>
      <c r="P33" s="182" t="s">
        <v>569</v>
      </c>
      <c r="Q33" s="182" t="s">
        <v>667</v>
      </c>
      <c r="R33" s="182" t="s">
        <v>647</v>
      </c>
      <c r="S33" s="182" t="s">
        <v>566</v>
      </c>
      <c r="T33" s="182" t="s">
        <v>381</v>
      </c>
      <c r="U33" s="502" t="str">
        <f>ProposedEquipment0!AH1</f>
        <v>Total Delta Net kWh</v>
      </c>
      <c r="V33" s="502" t="str">
        <f>ProposedEquipment0!AL1</f>
        <v>EE MMBTU Savings</v>
      </c>
      <c r="W33" s="502" t="str">
        <f>ProposedEquipment0!AM1</f>
        <v>BE MMBTU Savings</v>
      </c>
      <c r="X33" s="502" t="str">
        <f>ProposedEquipment0!AN1</f>
        <v>Total MMBTU Savings</v>
      </c>
      <c r="Y33" s="141"/>
      <c r="Z33" s="141"/>
      <c r="AA33" s="141"/>
      <c r="AB33" s="141"/>
    </row>
    <row r="34" spans="2:28">
      <c r="B34" s="183" t="str">
        <f>ProposedEquipment0!E2</f>
        <v/>
      </c>
      <c r="C34" s="183" t="str">
        <f>ProposedEquipment0!AU2</f>
        <v/>
      </c>
      <c r="D34" s="183" t="str">
        <f>ProposedEquipment0!F2</f>
        <v/>
      </c>
      <c r="E34" s="184" t="str">
        <f>ProposedEquipment0!AR2</f>
        <v/>
      </c>
      <c r="F34" s="184">
        <f>ProposedEquipment0!AT2</f>
        <v>0</v>
      </c>
      <c r="G34" s="185" t="str">
        <f>ProposedEquipment0!I2</f>
        <v/>
      </c>
      <c r="H34" s="186" t="str">
        <f>ProposedEquipment0!J2</f>
        <v/>
      </c>
      <c r="I34" s="185" t="str">
        <f>ProposedEquipment0!K2</f>
        <v/>
      </c>
      <c r="J34" s="186" t="str">
        <f>ProposedEquipment0!L2</f>
        <v/>
      </c>
      <c r="K34" s="186" t="str">
        <f>ProposedEquipment0!M2</f>
        <v/>
      </c>
      <c r="L34" s="183" t="str">
        <f>ProposedEquipment0!Y2</f>
        <v/>
      </c>
      <c r="M34" s="183" t="str">
        <f>ProposedEquipment0!Z2</f>
        <v/>
      </c>
      <c r="N34" s="183" t="str">
        <f>ProposedEquipment0!AA2</f>
        <v/>
      </c>
      <c r="O34" s="183" t="str">
        <f>ProposedEquipment0!AB2</f>
        <v/>
      </c>
      <c r="P34" s="183" t="str">
        <f>ProposedEquipment0!AC2</f>
        <v/>
      </c>
      <c r="Q34" s="183" t="str">
        <f>ProposedEquipment0!AD2</f>
        <v/>
      </c>
      <c r="R34" s="183" t="str">
        <f>ProposedEquipment0!AE2</f>
        <v/>
      </c>
      <c r="S34" s="183" t="str">
        <f>ProposedEquipment0!AF2</f>
        <v/>
      </c>
      <c r="T34" s="183" t="str">
        <f>ProposedEquipment0!AG2</f>
        <v/>
      </c>
      <c r="U34" s="183" t="str">
        <f>ProposedEquipment0!AH2</f>
        <v/>
      </c>
      <c r="V34" s="183" t="str">
        <f>ProposedEquipment0!AL2</f>
        <v/>
      </c>
      <c r="W34" s="183" t="str">
        <f>ProposedEquipment0!AM2</f>
        <v/>
      </c>
      <c r="X34" s="183" t="str">
        <f>ProposedEquipment0!AN2</f>
        <v/>
      </c>
      <c r="Y34" s="141"/>
      <c r="Z34" s="141"/>
      <c r="AA34" s="141"/>
      <c r="AB34" s="141"/>
    </row>
    <row r="35" spans="2:28">
      <c r="B35" s="183" t="str">
        <f>ProposedEquipment0!E3</f>
        <v/>
      </c>
      <c r="C35" s="183" t="str">
        <f>ProposedEquipment0!AU3</f>
        <v/>
      </c>
      <c r="D35" s="183" t="str">
        <f>ProposedEquipment0!F3</f>
        <v/>
      </c>
      <c r="E35" s="184" t="str">
        <f>ProposedEquipment0!AR3</f>
        <v/>
      </c>
      <c r="F35" s="184">
        <f>ProposedEquipment0!AT3</f>
        <v>0</v>
      </c>
      <c r="G35" s="185" t="str">
        <f>ProposedEquipment0!I3</f>
        <v/>
      </c>
      <c r="H35" s="186" t="str">
        <f>ProposedEquipment0!J3</f>
        <v/>
      </c>
      <c r="I35" s="185" t="str">
        <f>ProposedEquipment0!K3</f>
        <v/>
      </c>
      <c r="J35" s="186" t="str">
        <f>ProposedEquipment0!L3</f>
        <v/>
      </c>
      <c r="K35" s="186" t="str">
        <f>ProposedEquipment0!M3</f>
        <v/>
      </c>
      <c r="L35" s="183" t="str">
        <f>ProposedEquipment0!Y3</f>
        <v/>
      </c>
      <c r="M35" s="183" t="str">
        <f>ProposedEquipment0!Z3</f>
        <v/>
      </c>
      <c r="N35" s="183" t="str">
        <f>ProposedEquipment0!AA3</f>
        <v/>
      </c>
      <c r="O35" s="183" t="str">
        <f>ProposedEquipment0!AB3</f>
        <v/>
      </c>
      <c r="P35" s="183" t="str">
        <f>ProposedEquipment0!AC3</f>
        <v/>
      </c>
      <c r="Q35" s="183" t="str">
        <f>ProposedEquipment0!AD3</f>
        <v/>
      </c>
      <c r="R35" s="183" t="str">
        <f>ProposedEquipment0!AE3</f>
        <v/>
      </c>
      <c r="S35" s="183" t="str">
        <f>ProposedEquipment0!AF3</f>
        <v/>
      </c>
      <c r="T35" s="183" t="str">
        <f>ProposedEquipment0!AG3</f>
        <v/>
      </c>
      <c r="U35" s="183" t="str">
        <f>ProposedEquipment0!AH3</f>
        <v/>
      </c>
      <c r="V35" s="183" t="str">
        <f>ProposedEquipment0!AL3</f>
        <v/>
      </c>
      <c r="W35" s="183" t="str">
        <f>ProposedEquipment0!AM3</f>
        <v/>
      </c>
      <c r="X35" s="183" t="str">
        <f>ProposedEquipment0!AN3</f>
        <v/>
      </c>
      <c r="Y35" s="141"/>
      <c r="Z35" s="141"/>
      <c r="AA35" s="141"/>
      <c r="AB35" s="141"/>
    </row>
    <row r="36" spans="2:28">
      <c r="B36" s="183" t="str">
        <f>ProposedEquipment0!E4</f>
        <v/>
      </c>
      <c r="C36" s="183" t="str">
        <f>ProposedEquipment0!AU4</f>
        <v/>
      </c>
      <c r="D36" s="183" t="str">
        <f>ProposedEquipment0!F4</f>
        <v/>
      </c>
      <c r="E36" s="184" t="str">
        <f>ProposedEquipment0!AR4</f>
        <v/>
      </c>
      <c r="F36" s="184">
        <f>ProposedEquipment0!AT4</f>
        <v>0</v>
      </c>
      <c r="G36" s="185" t="str">
        <f>ProposedEquipment0!I4</f>
        <v/>
      </c>
      <c r="H36" s="186" t="str">
        <f>ProposedEquipment0!J4</f>
        <v/>
      </c>
      <c r="I36" s="185" t="str">
        <f>ProposedEquipment0!K4</f>
        <v/>
      </c>
      <c r="J36" s="186" t="str">
        <f>ProposedEquipment0!L4</f>
        <v/>
      </c>
      <c r="K36" s="186" t="str">
        <f>ProposedEquipment0!M4</f>
        <v/>
      </c>
      <c r="L36" s="183" t="str">
        <f>ProposedEquipment0!Y4</f>
        <v/>
      </c>
      <c r="M36" s="183" t="str">
        <f>ProposedEquipment0!Z4</f>
        <v/>
      </c>
      <c r="N36" s="183" t="str">
        <f>ProposedEquipment0!AA4</f>
        <v/>
      </c>
      <c r="O36" s="183" t="str">
        <f>ProposedEquipment0!AB4</f>
        <v/>
      </c>
      <c r="P36" s="183" t="str">
        <f>ProposedEquipment0!AC4</f>
        <v/>
      </c>
      <c r="Q36" s="183" t="str">
        <f>ProposedEquipment0!AD4</f>
        <v/>
      </c>
      <c r="R36" s="183" t="str">
        <f>ProposedEquipment0!AE4</f>
        <v/>
      </c>
      <c r="S36" s="183" t="str">
        <f>ProposedEquipment0!AF4</f>
        <v/>
      </c>
      <c r="T36" s="183" t="str">
        <f>ProposedEquipment0!AG4</f>
        <v/>
      </c>
      <c r="U36" s="183" t="str">
        <f>ProposedEquipment0!AH4</f>
        <v/>
      </c>
      <c r="V36" s="183" t="str">
        <f>ProposedEquipment0!AL4</f>
        <v/>
      </c>
      <c r="W36" s="183" t="str">
        <f>ProposedEquipment0!AM4</f>
        <v/>
      </c>
      <c r="X36" s="183" t="str">
        <f>ProposedEquipment0!AN4</f>
        <v/>
      </c>
      <c r="Y36" s="141"/>
      <c r="Z36" s="141"/>
      <c r="AA36" s="141"/>
      <c r="AB36" s="141"/>
    </row>
    <row r="37" spans="2:28">
      <c r="B37" s="183">
        <f>ProposedEquipment0!E5</f>
        <v>0</v>
      </c>
      <c r="C37" s="183" t="str">
        <f>ProposedEquipment0!AU5</f>
        <v/>
      </c>
      <c r="D37" s="183">
        <f>ProposedEquipment0!F5</f>
        <v>0</v>
      </c>
      <c r="E37" s="184" t="str">
        <f>ProposedEquipment0!AR5</f>
        <v/>
      </c>
      <c r="F37" s="184">
        <f>ProposedEquipment0!AT5</f>
        <v>0</v>
      </c>
      <c r="G37" s="185">
        <f>ProposedEquipment0!I5</f>
        <v>0</v>
      </c>
      <c r="H37" s="186">
        <f>ProposedEquipment0!J5</f>
        <v>0</v>
      </c>
      <c r="I37" s="185">
        <f>ProposedEquipment0!K5</f>
        <v>0</v>
      </c>
      <c r="J37" s="186" t="str">
        <f>ProposedEquipment0!L5</f>
        <v/>
      </c>
      <c r="K37" s="186" t="str">
        <f>ProposedEquipment0!M5</f>
        <v/>
      </c>
      <c r="L37" s="183" t="str">
        <f>ProposedEquipment0!Y5</f>
        <v/>
      </c>
      <c r="M37" s="183" t="str">
        <f>ProposedEquipment0!Z5</f>
        <v/>
      </c>
      <c r="N37" s="183" t="str">
        <f>ProposedEquipment0!AA5</f>
        <v/>
      </c>
      <c r="O37" s="183" t="str">
        <f>ProposedEquipment0!AB5</f>
        <v/>
      </c>
      <c r="P37" s="183" t="str">
        <f>ProposedEquipment0!AC5</f>
        <v/>
      </c>
      <c r="Q37" s="183" t="str">
        <f>ProposedEquipment0!AD5</f>
        <v/>
      </c>
      <c r="R37" s="183" t="str">
        <f>ProposedEquipment0!AE5</f>
        <v/>
      </c>
      <c r="S37" s="183" t="str">
        <f>ProposedEquipment0!AF5</f>
        <v/>
      </c>
      <c r="T37" s="183" t="str">
        <f>ProposedEquipment0!AG5</f>
        <v/>
      </c>
      <c r="U37" s="183" t="str">
        <f>ProposedEquipment0!AH5</f>
        <v/>
      </c>
      <c r="V37" s="183" t="str">
        <f>ProposedEquipment0!AL5</f>
        <v/>
      </c>
      <c r="W37" s="183" t="str">
        <f>ProposedEquipment0!AM5</f>
        <v/>
      </c>
      <c r="X37" s="183" t="str">
        <f>ProposedEquipment0!AN5</f>
        <v/>
      </c>
      <c r="Y37" s="141"/>
      <c r="Z37" s="141"/>
      <c r="AA37" s="141"/>
      <c r="AB37" s="141"/>
    </row>
    <row r="38" spans="2:28">
      <c r="B38" s="183">
        <f>ProposedEquipment0!E6</f>
        <v>0</v>
      </c>
      <c r="C38" s="183" t="str">
        <f>ProposedEquipment0!AU6</f>
        <v/>
      </c>
      <c r="D38" s="183">
        <f>ProposedEquipment0!F6</f>
        <v>0</v>
      </c>
      <c r="E38" s="184" t="str">
        <f>ProposedEquipment0!AR6</f>
        <v/>
      </c>
      <c r="F38" s="184">
        <f>ProposedEquipment0!AT6</f>
        <v>0</v>
      </c>
      <c r="G38" s="185">
        <f>ProposedEquipment0!I6</f>
        <v>0</v>
      </c>
      <c r="H38" s="186">
        <f>ProposedEquipment0!J6</f>
        <v>0</v>
      </c>
      <c r="I38" s="185">
        <f>ProposedEquipment0!K6</f>
        <v>0</v>
      </c>
      <c r="J38" s="186" t="str">
        <f>ProposedEquipment0!L6</f>
        <v/>
      </c>
      <c r="K38" s="186" t="str">
        <f>ProposedEquipment0!M6</f>
        <v/>
      </c>
      <c r="L38" s="183" t="str">
        <f>ProposedEquipment0!Y6</f>
        <v/>
      </c>
      <c r="M38" s="183" t="str">
        <f>ProposedEquipment0!Z6</f>
        <v/>
      </c>
      <c r="N38" s="183" t="str">
        <f>ProposedEquipment0!AA6</f>
        <v/>
      </c>
      <c r="O38" s="183" t="str">
        <f>ProposedEquipment0!AB6</f>
        <v/>
      </c>
      <c r="P38" s="183" t="str">
        <f>ProposedEquipment0!AC6</f>
        <v/>
      </c>
      <c r="Q38" s="183" t="str">
        <f>ProposedEquipment0!AD6</f>
        <v/>
      </c>
      <c r="R38" s="183" t="str">
        <f>ProposedEquipment0!AE6</f>
        <v/>
      </c>
      <c r="S38" s="183" t="str">
        <f>ProposedEquipment0!AF6</f>
        <v/>
      </c>
      <c r="T38" s="183" t="str">
        <f>ProposedEquipment0!AG6</f>
        <v/>
      </c>
      <c r="U38" s="183" t="str">
        <f>ProposedEquipment0!AH6</f>
        <v/>
      </c>
      <c r="V38" s="183" t="str">
        <f>ProposedEquipment0!AL6</f>
        <v/>
      </c>
      <c r="W38" s="183" t="str">
        <f>ProposedEquipment0!AM6</f>
        <v/>
      </c>
      <c r="X38" s="183" t="str">
        <f>ProposedEquipment0!AN6</f>
        <v/>
      </c>
      <c r="Y38" s="141"/>
      <c r="Z38" s="141"/>
      <c r="AA38" s="141"/>
      <c r="AB38" s="141"/>
    </row>
    <row r="39" spans="2:28">
      <c r="B39" s="183">
        <f>ProposedEquipment0!E7</f>
        <v>0</v>
      </c>
      <c r="C39" s="183" t="str">
        <f>ProposedEquipment0!AU7</f>
        <v/>
      </c>
      <c r="D39" s="183">
        <f>ProposedEquipment0!F7</f>
        <v>0</v>
      </c>
      <c r="E39" s="184" t="str">
        <f>ProposedEquipment0!AR7</f>
        <v/>
      </c>
      <c r="F39" s="184">
        <f>ProposedEquipment0!AT7</f>
        <v>0</v>
      </c>
      <c r="G39" s="185">
        <f>ProposedEquipment0!I7</f>
        <v>0</v>
      </c>
      <c r="H39" s="186">
        <f>ProposedEquipment0!J7</f>
        <v>0</v>
      </c>
      <c r="I39" s="185">
        <f>ProposedEquipment0!K7</f>
        <v>0</v>
      </c>
      <c r="J39" s="186" t="str">
        <f>ProposedEquipment0!L7</f>
        <v/>
      </c>
      <c r="K39" s="186" t="str">
        <f>ProposedEquipment0!M7</f>
        <v/>
      </c>
      <c r="L39" s="183" t="str">
        <f>ProposedEquipment0!Y7</f>
        <v/>
      </c>
      <c r="M39" s="183" t="str">
        <f>ProposedEquipment0!Z7</f>
        <v/>
      </c>
      <c r="N39" s="183" t="str">
        <f>ProposedEquipment0!AA7</f>
        <v/>
      </c>
      <c r="O39" s="183" t="str">
        <f>ProposedEquipment0!AB7</f>
        <v/>
      </c>
      <c r="P39" s="183" t="str">
        <f>ProposedEquipment0!AC7</f>
        <v/>
      </c>
      <c r="Q39" s="183" t="str">
        <f>ProposedEquipment0!AD7</f>
        <v/>
      </c>
      <c r="R39" s="183" t="str">
        <f>ProposedEquipment0!AE7</f>
        <v/>
      </c>
      <c r="S39" s="183" t="str">
        <f>ProposedEquipment0!AF7</f>
        <v/>
      </c>
      <c r="T39" s="183" t="str">
        <f>ProposedEquipment0!AG7</f>
        <v/>
      </c>
      <c r="U39" s="183" t="str">
        <f>ProposedEquipment0!AH7</f>
        <v/>
      </c>
      <c r="V39" s="183" t="str">
        <f>ProposedEquipment0!AL7</f>
        <v/>
      </c>
      <c r="W39" s="183" t="str">
        <f>ProposedEquipment0!AM7</f>
        <v/>
      </c>
      <c r="X39" s="183" t="str">
        <f>ProposedEquipment0!AN7</f>
        <v/>
      </c>
      <c r="Y39" s="141"/>
      <c r="Z39" s="141"/>
      <c r="AA39" s="141"/>
      <c r="AB39" s="141"/>
    </row>
    <row r="40" spans="2:28">
      <c r="B40" s="183" t="e">
        <f>ProposedEquipment0!E8</f>
        <v>#REF!</v>
      </c>
      <c r="C40" s="183" t="e">
        <f>ProposedEquipment0!AU8</f>
        <v>#REF!</v>
      </c>
      <c r="D40" s="183" t="e">
        <f>ProposedEquipment0!F8</f>
        <v>#REF!</v>
      </c>
      <c r="E40" s="184" t="e">
        <f>ProposedEquipment0!AR8</f>
        <v>#REF!</v>
      </c>
      <c r="F40" s="184">
        <f>ProposedEquipment0!AT8</f>
        <v>0</v>
      </c>
      <c r="G40" s="185" t="e">
        <f>ProposedEquipment0!I8</f>
        <v>#REF!</v>
      </c>
      <c r="H40" s="186" t="e">
        <f>ProposedEquipment0!J8</f>
        <v>#REF!</v>
      </c>
      <c r="I40" s="185" t="e">
        <f>ProposedEquipment0!K8</f>
        <v>#REF!</v>
      </c>
      <c r="J40" s="186" t="e">
        <f>ProposedEquipment0!L8</f>
        <v>#REF!</v>
      </c>
      <c r="K40" s="186" t="e">
        <f>ProposedEquipment0!M8</f>
        <v>#REF!</v>
      </c>
      <c r="L40" s="183" t="e">
        <f>ProposedEquipment0!Y8</f>
        <v>#REF!</v>
      </c>
      <c r="M40" s="183" t="e">
        <f>ProposedEquipment0!Z8</f>
        <v>#REF!</v>
      </c>
      <c r="N40" s="183" t="e">
        <f>ProposedEquipment0!AA8</f>
        <v>#REF!</v>
      </c>
      <c r="O40" s="183" t="e">
        <f>ProposedEquipment0!AB8</f>
        <v>#REF!</v>
      </c>
      <c r="P40" s="183" t="e">
        <f>ProposedEquipment0!AC8</f>
        <v>#REF!</v>
      </c>
      <c r="Q40" s="183" t="e">
        <f>ProposedEquipment0!AD8</f>
        <v>#REF!</v>
      </c>
      <c r="R40" s="183" t="e">
        <f>ProposedEquipment0!AE8</f>
        <v>#REF!</v>
      </c>
      <c r="S40" s="183" t="e">
        <f>ProposedEquipment0!AF8</f>
        <v>#REF!</v>
      </c>
      <c r="T40" s="183" t="e">
        <f>ProposedEquipment0!AG8</f>
        <v>#REF!</v>
      </c>
      <c r="U40" s="183" t="e">
        <f>ProposedEquipment0!AH8</f>
        <v>#REF!</v>
      </c>
      <c r="V40" s="183" t="e">
        <f>ProposedEquipment0!AL8</f>
        <v>#REF!</v>
      </c>
      <c r="W40" s="183" t="e">
        <f>ProposedEquipment0!AM8</f>
        <v>#REF!</v>
      </c>
      <c r="X40" s="183" t="e">
        <f>ProposedEquipment0!AN8</f>
        <v>#REF!</v>
      </c>
      <c r="Y40" s="141"/>
      <c r="Z40" s="141"/>
      <c r="AA40" s="141"/>
      <c r="AB40" s="141"/>
    </row>
    <row r="41" spans="2:28">
      <c r="B41" s="183">
        <f>ProposedEquipment0!E9</f>
        <v>0</v>
      </c>
      <c r="C41" s="183" t="str">
        <f>ProposedEquipment0!AU9</f>
        <v/>
      </c>
      <c r="D41" s="183">
        <f>ProposedEquipment0!F9</f>
        <v>0</v>
      </c>
      <c r="E41" s="184" t="str">
        <f>ProposedEquipment0!AR9</f>
        <v/>
      </c>
      <c r="F41" s="184">
        <f>ProposedEquipment0!AT9</f>
        <v>0</v>
      </c>
      <c r="G41" s="185">
        <f>ProposedEquipment0!I9</f>
        <v>0</v>
      </c>
      <c r="H41" s="186">
        <f>ProposedEquipment0!J9</f>
        <v>0</v>
      </c>
      <c r="I41" s="185">
        <f>ProposedEquipment0!K9</f>
        <v>0</v>
      </c>
      <c r="J41" s="186" t="str">
        <f>ProposedEquipment0!L9</f>
        <v/>
      </c>
      <c r="K41" s="186" t="str">
        <f>ProposedEquipment0!M9</f>
        <v/>
      </c>
      <c r="L41" s="183" t="str">
        <f>ProposedEquipment0!Y9</f>
        <v/>
      </c>
      <c r="M41" s="183" t="str">
        <f>ProposedEquipment0!Z9</f>
        <v/>
      </c>
      <c r="N41" s="183" t="str">
        <f>ProposedEquipment0!AA9</f>
        <v/>
      </c>
      <c r="O41" s="183" t="str">
        <f>ProposedEquipment0!AB9</f>
        <v/>
      </c>
      <c r="P41" s="183" t="str">
        <f>ProposedEquipment0!AC9</f>
        <v/>
      </c>
      <c r="Q41" s="183" t="str">
        <f>ProposedEquipment0!AD9</f>
        <v/>
      </c>
      <c r="R41" s="183" t="str">
        <f>ProposedEquipment0!AE9</f>
        <v/>
      </c>
      <c r="S41" s="183" t="str">
        <f>ProposedEquipment0!AF9</f>
        <v/>
      </c>
      <c r="T41" s="183" t="str">
        <f>ProposedEquipment0!AG9</f>
        <v/>
      </c>
      <c r="U41" s="183" t="str">
        <f>ProposedEquipment0!AH9</f>
        <v/>
      </c>
      <c r="V41" s="183" t="str">
        <f>ProposedEquipment0!AL9</f>
        <v/>
      </c>
      <c r="W41" s="183" t="str">
        <f>ProposedEquipment0!AM9</f>
        <v/>
      </c>
      <c r="X41" s="183" t="str">
        <f>ProposedEquipment0!AN9</f>
        <v/>
      </c>
      <c r="Y41" s="141"/>
      <c r="Z41" s="141"/>
      <c r="AA41" s="141"/>
      <c r="AB41" s="141"/>
    </row>
    <row r="42" spans="2:28">
      <c r="B42" s="183" t="e">
        <f>ProposedEquipment0!E10</f>
        <v>#REF!</v>
      </c>
      <c r="C42" s="183" t="e">
        <f>ProposedEquipment0!AU10</f>
        <v>#REF!</v>
      </c>
      <c r="D42" s="183" t="e">
        <f>ProposedEquipment0!F10</f>
        <v>#REF!</v>
      </c>
      <c r="E42" s="184" t="e">
        <f>ProposedEquipment0!AR10</f>
        <v>#REF!</v>
      </c>
      <c r="F42" s="184">
        <f>ProposedEquipment0!AT10</f>
        <v>0</v>
      </c>
      <c r="G42" s="185" t="e">
        <f>ProposedEquipment0!I10</f>
        <v>#REF!</v>
      </c>
      <c r="H42" s="186" t="e">
        <f>ProposedEquipment0!J10</f>
        <v>#REF!</v>
      </c>
      <c r="I42" s="185" t="e">
        <f>ProposedEquipment0!K10</f>
        <v>#REF!</v>
      </c>
      <c r="J42" s="186" t="e">
        <f>ProposedEquipment0!L10</f>
        <v>#REF!</v>
      </c>
      <c r="K42" s="186" t="e">
        <f>ProposedEquipment0!M10</f>
        <v>#REF!</v>
      </c>
      <c r="L42" s="183" t="e">
        <f>ProposedEquipment0!Y10</f>
        <v>#REF!</v>
      </c>
      <c r="M42" s="183" t="e">
        <f>ProposedEquipment0!Z10</f>
        <v>#REF!</v>
      </c>
      <c r="N42" s="183" t="e">
        <f>ProposedEquipment0!AA10</f>
        <v>#REF!</v>
      </c>
      <c r="O42" s="183" t="e">
        <f>ProposedEquipment0!AB10</f>
        <v>#REF!</v>
      </c>
      <c r="P42" s="183" t="e">
        <f>ProposedEquipment0!AC10</f>
        <v>#REF!</v>
      </c>
      <c r="Q42" s="183" t="e">
        <f>ProposedEquipment0!AD10</f>
        <v>#REF!</v>
      </c>
      <c r="R42" s="183" t="e">
        <f>ProposedEquipment0!AE10</f>
        <v>#REF!</v>
      </c>
      <c r="S42" s="183" t="e">
        <f>ProposedEquipment0!AF10</f>
        <v>#REF!</v>
      </c>
      <c r="T42" s="183" t="e">
        <f>ProposedEquipment0!AG10</f>
        <v>#REF!</v>
      </c>
      <c r="U42" s="183" t="e">
        <f>ProposedEquipment0!AH10</f>
        <v>#REF!</v>
      </c>
      <c r="V42" s="183" t="e">
        <f>ProposedEquipment0!AL10</f>
        <v>#REF!</v>
      </c>
      <c r="W42" s="183" t="e">
        <f>ProposedEquipment0!AM10</f>
        <v>#REF!</v>
      </c>
      <c r="X42" s="183" t="e">
        <f>ProposedEquipment0!AN10</f>
        <v>#REF!</v>
      </c>
      <c r="Y42" s="141"/>
      <c r="Z42" s="141"/>
      <c r="AA42" s="141"/>
      <c r="AB42" s="141"/>
    </row>
    <row r="43" spans="2:28">
      <c r="B43" s="183" t="e">
        <f>ProposedEquipment0!E11</f>
        <v>#REF!</v>
      </c>
      <c r="C43" s="183" t="e">
        <f>ProposedEquipment0!AU11</f>
        <v>#REF!</v>
      </c>
      <c r="D43" s="183" t="e">
        <f>ProposedEquipment0!F11</f>
        <v>#REF!</v>
      </c>
      <c r="E43" s="184" t="e">
        <f>ProposedEquipment0!AR11</f>
        <v>#REF!</v>
      </c>
      <c r="F43" s="184">
        <f>ProposedEquipment0!AT11</f>
        <v>0</v>
      </c>
      <c r="G43" s="185" t="e">
        <f>ProposedEquipment0!I11</f>
        <v>#REF!</v>
      </c>
      <c r="H43" s="186" t="e">
        <f>ProposedEquipment0!J11</f>
        <v>#REF!</v>
      </c>
      <c r="I43" s="185" t="e">
        <f>ProposedEquipment0!K11</f>
        <v>#REF!</v>
      </c>
      <c r="J43" s="186" t="e">
        <f>ProposedEquipment0!L11</f>
        <v>#REF!</v>
      </c>
      <c r="K43" s="186" t="e">
        <f>ProposedEquipment0!M11</f>
        <v>#REF!</v>
      </c>
      <c r="L43" s="183" t="e">
        <f>ProposedEquipment0!Y11</f>
        <v>#REF!</v>
      </c>
      <c r="M43" s="183" t="e">
        <f>ProposedEquipment0!Z11</f>
        <v>#REF!</v>
      </c>
      <c r="N43" s="183" t="e">
        <f>ProposedEquipment0!AA11</f>
        <v>#REF!</v>
      </c>
      <c r="O43" s="183" t="e">
        <f>ProposedEquipment0!AB11</f>
        <v>#REF!</v>
      </c>
      <c r="P43" s="183" t="e">
        <f>ProposedEquipment0!AC11</f>
        <v>#REF!</v>
      </c>
      <c r="Q43" s="183" t="e">
        <f>ProposedEquipment0!AD11</f>
        <v>#REF!</v>
      </c>
      <c r="R43" s="183" t="e">
        <f>ProposedEquipment0!AE11</f>
        <v>#REF!</v>
      </c>
      <c r="S43" s="183" t="e">
        <f>ProposedEquipment0!AF11</f>
        <v>#REF!</v>
      </c>
      <c r="T43" s="183" t="e">
        <f>ProposedEquipment0!AG11</f>
        <v>#REF!</v>
      </c>
      <c r="U43" s="183" t="e">
        <f>ProposedEquipment0!AH11</f>
        <v>#REF!</v>
      </c>
      <c r="V43" s="183" t="e">
        <f>ProposedEquipment0!AL11</f>
        <v>#REF!</v>
      </c>
      <c r="W43" s="183" t="e">
        <f>ProposedEquipment0!AM11</f>
        <v>#REF!</v>
      </c>
      <c r="X43" s="183" t="e">
        <f>ProposedEquipment0!AN11</f>
        <v>#REF!</v>
      </c>
      <c r="Y43" s="141"/>
      <c r="Z43" s="141"/>
      <c r="AA43" s="141"/>
      <c r="AB43" s="141"/>
    </row>
    <row r="44" spans="2:28">
      <c r="B44" s="183" t="e">
        <f>ProposedEquipment0!E12</f>
        <v>#REF!</v>
      </c>
      <c r="C44" s="183" t="e">
        <f>ProposedEquipment0!AU12</f>
        <v>#REF!</v>
      </c>
      <c r="D44" s="183" t="e">
        <f>ProposedEquipment0!F12</f>
        <v>#REF!</v>
      </c>
      <c r="E44" s="184" t="e">
        <f>ProposedEquipment0!AR12</f>
        <v>#REF!</v>
      </c>
      <c r="F44" s="184">
        <f>ProposedEquipment0!AT12</f>
        <v>0</v>
      </c>
      <c r="G44" s="185" t="e">
        <f>ProposedEquipment0!I12</f>
        <v>#REF!</v>
      </c>
      <c r="H44" s="186" t="e">
        <f>ProposedEquipment0!J12</f>
        <v>#REF!</v>
      </c>
      <c r="I44" s="185" t="e">
        <f>ProposedEquipment0!K12</f>
        <v>#REF!</v>
      </c>
      <c r="J44" s="186" t="e">
        <f>ProposedEquipment0!L12</f>
        <v>#REF!</v>
      </c>
      <c r="K44" s="186" t="e">
        <f>ProposedEquipment0!M12</f>
        <v>#REF!</v>
      </c>
      <c r="L44" s="183" t="e">
        <f>ProposedEquipment0!Y12</f>
        <v>#REF!</v>
      </c>
      <c r="M44" s="183" t="e">
        <f>ProposedEquipment0!Z12</f>
        <v>#REF!</v>
      </c>
      <c r="N44" s="183" t="e">
        <f>ProposedEquipment0!AA12</f>
        <v>#REF!</v>
      </c>
      <c r="O44" s="183" t="e">
        <f>ProposedEquipment0!AB12</f>
        <v>#REF!</v>
      </c>
      <c r="P44" s="183" t="e">
        <f>ProposedEquipment0!AC12</f>
        <v>#REF!</v>
      </c>
      <c r="Q44" s="183" t="e">
        <f>ProposedEquipment0!AD12</f>
        <v>#REF!</v>
      </c>
      <c r="R44" s="183" t="e">
        <f>ProposedEquipment0!AE12</f>
        <v>#REF!</v>
      </c>
      <c r="S44" s="183" t="e">
        <f>ProposedEquipment0!AF12</f>
        <v>#REF!</v>
      </c>
      <c r="T44" s="183" t="e">
        <f>ProposedEquipment0!AG12</f>
        <v>#REF!</v>
      </c>
      <c r="U44" s="183" t="e">
        <f>ProposedEquipment0!AH12</f>
        <v>#REF!</v>
      </c>
      <c r="V44" s="183" t="e">
        <f>ProposedEquipment0!AL12</f>
        <v>#REF!</v>
      </c>
      <c r="W44" s="183" t="e">
        <f>ProposedEquipment0!AM12</f>
        <v>#REF!</v>
      </c>
      <c r="X44" s="183" t="e">
        <f>ProposedEquipment0!AN12</f>
        <v>#REF!</v>
      </c>
      <c r="Y44" s="141"/>
      <c r="Z44" s="141"/>
      <c r="AA44" s="141"/>
      <c r="AB44" s="141"/>
    </row>
    <row r="45" spans="2:28">
      <c r="B45" s="183" t="e">
        <f>ProposedEquipment0!E13</f>
        <v>#REF!</v>
      </c>
      <c r="C45" s="183" t="e">
        <f>ProposedEquipment0!AU13</f>
        <v>#REF!</v>
      </c>
      <c r="D45" s="183" t="e">
        <f>ProposedEquipment0!F13</f>
        <v>#REF!</v>
      </c>
      <c r="E45" s="184" t="e">
        <f>ProposedEquipment0!AR13</f>
        <v>#REF!</v>
      </c>
      <c r="F45" s="184">
        <f>ProposedEquipment0!AT13</f>
        <v>0</v>
      </c>
      <c r="G45" s="185" t="e">
        <f>ProposedEquipment0!I13</f>
        <v>#REF!</v>
      </c>
      <c r="H45" s="186" t="e">
        <f>ProposedEquipment0!J13</f>
        <v>#REF!</v>
      </c>
      <c r="I45" s="185" t="e">
        <f>ProposedEquipment0!K13</f>
        <v>#REF!</v>
      </c>
      <c r="J45" s="186" t="e">
        <f>ProposedEquipment0!L13</f>
        <v>#REF!</v>
      </c>
      <c r="K45" s="186" t="e">
        <f>ProposedEquipment0!M13</f>
        <v>#REF!</v>
      </c>
      <c r="L45" s="183" t="e">
        <f>ProposedEquipment0!Y13</f>
        <v>#REF!</v>
      </c>
      <c r="M45" s="183" t="e">
        <f>ProposedEquipment0!Z13</f>
        <v>#REF!</v>
      </c>
      <c r="N45" s="183" t="e">
        <f>ProposedEquipment0!AA13</f>
        <v>#REF!</v>
      </c>
      <c r="O45" s="183" t="e">
        <f>ProposedEquipment0!AB13</f>
        <v>#REF!</v>
      </c>
      <c r="P45" s="183" t="e">
        <f>ProposedEquipment0!AC13</f>
        <v>#REF!</v>
      </c>
      <c r="Q45" s="183" t="e">
        <f>ProposedEquipment0!AD13</f>
        <v>#REF!</v>
      </c>
      <c r="R45" s="183" t="e">
        <f>ProposedEquipment0!AE13</f>
        <v>#REF!</v>
      </c>
      <c r="S45" s="183" t="e">
        <f>ProposedEquipment0!AF13</f>
        <v>#REF!</v>
      </c>
      <c r="T45" s="183" t="e">
        <f>ProposedEquipment0!AG13</f>
        <v>#REF!</v>
      </c>
      <c r="U45" s="183" t="e">
        <f>ProposedEquipment0!AH13</f>
        <v>#REF!</v>
      </c>
      <c r="V45" s="183" t="e">
        <f>ProposedEquipment0!AL13</f>
        <v>#REF!</v>
      </c>
      <c r="W45" s="183" t="e">
        <f>ProposedEquipment0!AM13</f>
        <v>#REF!</v>
      </c>
      <c r="X45" s="183" t="e">
        <f>ProposedEquipment0!AN13</f>
        <v>#REF!</v>
      </c>
      <c r="Y45" s="141"/>
      <c r="Z45" s="141"/>
      <c r="AA45" s="141"/>
      <c r="AB45" s="141"/>
    </row>
    <row r="46" spans="2:28">
      <c r="B46" s="183" t="e">
        <f>ProposedEquipment0!E14</f>
        <v>#REF!</v>
      </c>
      <c r="C46" s="183" t="e">
        <f>ProposedEquipment0!AU14</f>
        <v>#REF!</v>
      </c>
      <c r="D46" s="183" t="e">
        <f>ProposedEquipment0!F14</f>
        <v>#REF!</v>
      </c>
      <c r="E46" s="184" t="e">
        <f>ProposedEquipment0!AR14</f>
        <v>#REF!</v>
      </c>
      <c r="F46" s="184">
        <f>ProposedEquipment0!AT14</f>
        <v>0</v>
      </c>
      <c r="G46" s="185" t="e">
        <f>ProposedEquipment0!I14</f>
        <v>#REF!</v>
      </c>
      <c r="H46" s="186" t="e">
        <f>ProposedEquipment0!J14</f>
        <v>#REF!</v>
      </c>
      <c r="I46" s="185" t="e">
        <f>ProposedEquipment0!K14</f>
        <v>#REF!</v>
      </c>
      <c r="J46" s="186" t="e">
        <f>ProposedEquipment0!L14</f>
        <v>#REF!</v>
      </c>
      <c r="K46" s="186" t="e">
        <f>ProposedEquipment0!M14</f>
        <v>#REF!</v>
      </c>
      <c r="L46" s="183" t="e">
        <f>ProposedEquipment0!Y14</f>
        <v>#REF!</v>
      </c>
      <c r="M46" s="183" t="e">
        <f>ProposedEquipment0!Z14</f>
        <v>#REF!</v>
      </c>
      <c r="N46" s="183" t="e">
        <f>ProposedEquipment0!AA14</f>
        <v>#REF!</v>
      </c>
      <c r="O46" s="183" t="e">
        <f>ProposedEquipment0!AB14</f>
        <v>#REF!</v>
      </c>
      <c r="P46" s="183" t="e">
        <f>ProposedEquipment0!AC14</f>
        <v>#REF!</v>
      </c>
      <c r="Q46" s="183" t="e">
        <f>ProposedEquipment0!AD14</f>
        <v>#REF!</v>
      </c>
      <c r="R46" s="183" t="e">
        <f>ProposedEquipment0!AE14</f>
        <v>#REF!</v>
      </c>
      <c r="S46" s="183" t="e">
        <f>ProposedEquipment0!AF14</f>
        <v>#REF!</v>
      </c>
      <c r="T46" s="183" t="e">
        <f>ProposedEquipment0!AG14</f>
        <v>#REF!</v>
      </c>
      <c r="U46" s="183" t="e">
        <f>ProposedEquipment0!AH14</f>
        <v>#REF!</v>
      </c>
      <c r="V46" s="183" t="e">
        <f>ProposedEquipment0!AL14</f>
        <v>#REF!</v>
      </c>
      <c r="W46" s="183" t="e">
        <f>ProposedEquipment0!AM14</f>
        <v>#REF!</v>
      </c>
      <c r="X46" s="183" t="e">
        <f>ProposedEquipment0!AN14</f>
        <v>#REF!</v>
      </c>
      <c r="Y46" s="141"/>
      <c r="Z46" s="141"/>
      <c r="AA46" s="141"/>
      <c r="AB46" s="141"/>
    </row>
    <row r="47" spans="2:28">
      <c r="Y47" s="141"/>
      <c r="Z47" s="141"/>
      <c r="AA47" s="141"/>
      <c r="AB47" s="141"/>
    </row>
  </sheetData>
  <sheetProtection algorithmName="SHA-512" hashValue="4OnlSPSUp9Cjh+LaRes8ElXqRIo5fyy+7DSvjtvv1+dc3Bh6FCWh8MrPcZQ5EQ2ebRdQHiMPyIzxIiNtimf3xg==" saltValue="blsa4a4cYR8m0vfq67VucQ==" spinCount="100000" sheet="1" objects="1" scenarios="1"/>
  <conditionalFormatting sqref="B3:AD25 B33:X46">
    <cfRule type="expression" dxfId="27" priority="82" stopIfTrue="1">
      <formula>$A$1=1118</formula>
    </cfRule>
  </conditionalFormatting>
  <conditionalFormatting sqref="AE3">
    <cfRule type="expression" dxfId="26" priority="1">
      <formula>$A$1=1118</formula>
    </cfRule>
  </conditionalFormatting>
  <conditionalFormatting sqref="AE4:AE25">
    <cfRule type="expression" dxfId="25" priority="2">
      <formula>$A$1=1118</formula>
    </cfRule>
  </conditionalFormatting>
  <pageMargins left="0.7" right="0.7" top="0.75" bottom="0.75" header="0.3" footer="0.3"/>
  <pageSetup orientation="portrait" r:id="rId1"/>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CFBAA-53EF-43B9-A3D5-C84E2C7E2D38}">
  <sheetPr codeName="Sheet33">
    <tabColor theme="9" tint="0.39997558519241921"/>
  </sheetPr>
  <dimension ref="A1:AE55"/>
  <sheetViews>
    <sheetView showGridLines="0" zoomScale="85" zoomScaleNormal="85" workbookViewId="0"/>
  </sheetViews>
  <sheetFormatPr defaultColWidth="8.81640625" defaultRowHeight="14.5"/>
  <cols>
    <col min="1" max="1" width="8.81640625" style="38"/>
    <col min="2" max="2" width="29.81640625" style="38" customWidth="1"/>
    <col min="3" max="3" width="15.54296875" style="38" bestFit="1" customWidth="1"/>
    <col min="4" max="4" width="13.1796875" style="38" bestFit="1" customWidth="1"/>
    <col min="5" max="5" width="12.81640625" style="38" bestFit="1" customWidth="1"/>
    <col min="6" max="6" width="11.453125" style="38" bestFit="1" customWidth="1"/>
    <col min="7" max="7" width="26.54296875" style="38" customWidth="1"/>
    <col min="8" max="9" width="19.54296875" style="38" customWidth="1"/>
    <col min="10" max="10" width="21" style="38" bestFit="1" customWidth="1"/>
    <col min="11" max="11" width="22.1796875" style="38" bestFit="1" customWidth="1"/>
    <col min="12" max="12" width="22.453125" style="38" bestFit="1" customWidth="1"/>
    <col min="13" max="13" width="21.1796875" style="38" bestFit="1" customWidth="1"/>
    <col min="14" max="14" width="20.1796875" style="38" bestFit="1" customWidth="1"/>
    <col min="15" max="15" width="18.453125" style="38" bestFit="1" customWidth="1"/>
    <col min="16" max="16" width="13.453125" style="38" customWidth="1"/>
    <col min="17" max="17" width="12.81640625" style="38" bestFit="1" customWidth="1"/>
    <col min="18" max="18" width="15.453125" style="38" customWidth="1"/>
    <col min="19" max="19" width="13.1796875" style="38" bestFit="1" customWidth="1"/>
    <col min="20" max="20" width="15.54296875" style="38" bestFit="1" customWidth="1"/>
    <col min="21" max="21" width="20.26953125" style="38" bestFit="1" customWidth="1"/>
    <col min="22" max="30" width="16.81640625" style="38" customWidth="1"/>
    <col min="31" max="31" width="20.54296875" style="38" customWidth="1"/>
    <col min="32" max="16384" width="8.81640625" style="38"/>
  </cols>
  <sheetData>
    <row r="1" spans="1:31">
      <c r="A1" s="273">
        <v>1043</v>
      </c>
    </row>
    <row r="2" spans="1:31">
      <c r="B2"/>
      <c r="C2"/>
      <c r="D2"/>
      <c r="E2"/>
      <c r="F2"/>
      <c r="G2"/>
      <c r="H2"/>
      <c r="I2"/>
      <c r="J2"/>
      <c r="K2"/>
      <c r="L2"/>
      <c r="M2"/>
      <c r="N2"/>
      <c r="O2"/>
      <c r="P2"/>
      <c r="Q2"/>
      <c r="R2"/>
      <c r="S2"/>
      <c r="T2"/>
      <c r="U2"/>
      <c r="V2"/>
      <c r="W2"/>
      <c r="X2"/>
      <c r="Y2"/>
      <c r="Z2"/>
      <c r="AA2"/>
      <c r="AB2"/>
      <c r="AC2"/>
      <c r="AD2"/>
      <c r="AE2"/>
    </row>
    <row r="3" spans="1:31" s="41" customFormat="1">
      <c r="B3" s="26" t="s">
        <v>1325</v>
      </c>
      <c r="C3" s="405"/>
      <c r="D3" s="405"/>
      <c r="E3" s="405"/>
      <c r="F3" s="405"/>
      <c r="G3" s="405"/>
      <c r="H3" s="405"/>
      <c r="I3" s="405"/>
      <c r="J3"/>
      <c r="K3"/>
      <c r="L3"/>
      <c r="M3"/>
      <c r="N3"/>
      <c r="O3"/>
      <c r="P3"/>
      <c r="Q3"/>
      <c r="R3"/>
      <c r="S3"/>
      <c r="T3"/>
      <c r="U3"/>
      <c r="V3"/>
      <c r="W3"/>
      <c r="X3"/>
      <c r="Y3"/>
      <c r="Z3"/>
      <c r="AA3"/>
      <c r="AB3"/>
      <c r="AC3"/>
      <c r="AD3"/>
      <c r="AE3"/>
    </row>
    <row r="4" spans="1:31">
      <c r="B4" s="452" t="s">
        <v>1324</v>
      </c>
      <c r="C4" s="405"/>
      <c r="D4" s="405"/>
      <c r="E4" s="405"/>
      <c r="F4" s="405"/>
      <c r="G4" s="405"/>
      <c r="H4" s="405"/>
      <c r="I4" s="405"/>
      <c r="J4"/>
      <c r="K4"/>
      <c r="L4"/>
      <c r="M4"/>
      <c r="N4"/>
      <c r="O4"/>
      <c r="P4"/>
      <c r="Q4"/>
      <c r="R4"/>
      <c r="S4"/>
      <c r="T4"/>
      <c r="U4"/>
      <c r="V4"/>
      <c r="W4"/>
      <c r="X4"/>
      <c r="Y4"/>
      <c r="Z4"/>
      <c r="AA4"/>
      <c r="AB4"/>
      <c r="AC4"/>
      <c r="AD4"/>
      <c r="AE4"/>
    </row>
    <row r="5" spans="1:31">
      <c r="B5" s="405"/>
      <c r="C5" s="405"/>
      <c r="D5" s="405"/>
      <c r="E5" s="405"/>
      <c r="F5" s="405"/>
      <c r="G5" s="405"/>
      <c r="H5" s="405"/>
      <c r="I5" s="405"/>
      <c r="J5"/>
      <c r="K5"/>
      <c r="L5"/>
      <c r="M5"/>
      <c r="N5"/>
      <c r="O5"/>
      <c r="P5"/>
      <c r="Q5"/>
      <c r="R5"/>
      <c r="S5"/>
      <c r="T5"/>
      <c r="U5"/>
      <c r="V5"/>
      <c r="W5"/>
      <c r="X5"/>
      <c r="Y5"/>
      <c r="Z5"/>
      <c r="AA5"/>
      <c r="AB5"/>
      <c r="AC5"/>
      <c r="AD5"/>
      <c r="AE5"/>
    </row>
    <row r="6" spans="1:31" ht="35.15" customHeight="1">
      <c r="B6" s="26" t="s">
        <v>10</v>
      </c>
      <c r="C6" s="1394" t="str">
        <f>IF('Customer Information'!C6="","",'Customer Information'!C6)</f>
        <v/>
      </c>
      <c r="D6" s="1394"/>
      <c r="E6" s="405"/>
      <c r="F6" s="405"/>
      <c r="G6" s="26" t="s">
        <v>168</v>
      </c>
      <c r="H6" s="1394" t="str">
        <f>IF('Customer Information'!L45="","",'Customer Information'!L45)</f>
        <v/>
      </c>
      <c r="I6" s="1394"/>
      <c r="J6"/>
      <c r="K6"/>
      <c r="L6"/>
      <c r="M6"/>
      <c r="N6"/>
      <c r="O6"/>
      <c r="P6"/>
      <c r="Q6"/>
      <c r="R6"/>
      <c r="S6"/>
      <c r="T6"/>
      <c r="U6"/>
      <c r="V6"/>
      <c r="W6"/>
      <c r="X6"/>
      <c r="Y6"/>
      <c r="Z6"/>
      <c r="AA6"/>
      <c r="AB6"/>
      <c r="AC6"/>
      <c r="AD6"/>
      <c r="AE6"/>
    </row>
    <row r="7" spans="1:31" ht="35.15" customHeight="1">
      <c r="B7" s="405"/>
      <c r="C7" s="405"/>
      <c r="D7" s="405"/>
      <c r="E7" s="405"/>
      <c r="F7" s="405"/>
      <c r="G7" s="26"/>
      <c r="H7" s="405"/>
      <c r="I7" s="405"/>
      <c r="J7"/>
      <c r="K7"/>
      <c r="L7"/>
      <c r="M7"/>
      <c r="N7"/>
      <c r="O7"/>
      <c r="P7"/>
      <c r="Q7"/>
      <c r="R7"/>
      <c r="S7"/>
      <c r="T7"/>
      <c r="U7"/>
      <c r="V7"/>
      <c r="W7"/>
      <c r="X7"/>
      <c r="Y7"/>
      <c r="Z7"/>
      <c r="AA7"/>
      <c r="AB7"/>
      <c r="AC7"/>
      <c r="AD7"/>
      <c r="AE7"/>
    </row>
    <row r="8" spans="1:31" ht="35.15" customHeight="1">
      <c r="B8" s="26" t="s">
        <v>1294</v>
      </c>
      <c r="C8" s="1394" t="str">
        <f>IF('Customer Information'!C7="","",'Customer Information'!C7)</f>
        <v/>
      </c>
      <c r="D8" s="1394"/>
      <c r="E8" s="405"/>
      <c r="F8" s="405"/>
      <c r="G8" s="26" t="s">
        <v>1302</v>
      </c>
      <c r="H8" s="1394" t="str">
        <f>IF('Customer Information'!I7="","",'Customer Information'!I7)</f>
        <v/>
      </c>
      <c r="I8" s="1394"/>
      <c r="J8"/>
      <c r="K8"/>
      <c r="L8"/>
      <c r="M8"/>
      <c r="N8"/>
      <c r="O8"/>
      <c r="P8"/>
      <c r="Q8"/>
      <c r="R8"/>
      <c r="S8"/>
      <c r="T8"/>
      <c r="U8"/>
      <c r="V8"/>
      <c r="W8"/>
      <c r="X8"/>
      <c r="Y8"/>
      <c r="Z8"/>
      <c r="AA8"/>
      <c r="AB8"/>
      <c r="AC8"/>
      <c r="AD8"/>
      <c r="AE8"/>
    </row>
    <row r="9" spans="1:31" ht="35.15" customHeight="1">
      <c r="B9" s="405"/>
      <c r="C9" s="405"/>
      <c r="D9" s="405"/>
      <c r="E9" s="405"/>
      <c r="F9" s="405"/>
      <c r="G9" s="26"/>
      <c r="H9" s="405"/>
      <c r="I9" s="405"/>
      <c r="J9"/>
      <c r="K9"/>
      <c r="L9"/>
      <c r="M9"/>
      <c r="N9"/>
      <c r="O9"/>
      <c r="P9"/>
      <c r="Q9"/>
      <c r="R9"/>
      <c r="S9"/>
      <c r="T9"/>
      <c r="U9"/>
      <c r="V9"/>
      <c r="W9"/>
      <c r="X9"/>
      <c r="Y9"/>
      <c r="Z9"/>
      <c r="AA9"/>
      <c r="AB9"/>
      <c r="AC9"/>
      <c r="AD9"/>
      <c r="AE9"/>
    </row>
    <row r="10" spans="1:31" ht="35.15" customHeight="1">
      <c r="B10" s="26" t="s">
        <v>1301</v>
      </c>
      <c r="C10" s="1394" t="str">
        <f>IF('Customer Information'!L7="","",'Customer Information'!L7)</f>
        <v/>
      </c>
      <c r="D10" s="1394"/>
      <c r="E10" s="405"/>
      <c r="F10" s="405"/>
      <c r="G10" s="26" t="s">
        <v>1303</v>
      </c>
      <c r="H10" s="1394" t="str">
        <f>IF('Customer Information'!C26="","",'Customer Information'!C26)</f>
        <v/>
      </c>
      <c r="I10" s="1394"/>
      <c r="J10"/>
      <c r="K10"/>
      <c r="L10"/>
      <c r="M10"/>
      <c r="N10"/>
      <c r="O10"/>
      <c r="P10"/>
      <c r="Q10"/>
      <c r="R10"/>
      <c r="S10"/>
      <c r="T10"/>
      <c r="U10"/>
      <c r="V10"/>
      <c r="W10"/>
      <c r="X10"/>
      <c r="Y10"/>
      <c r="Z10"/>
      <c r="AA10"/>
      <c r="AB10"/>
      <c r="AC10"/>
      <c r="AD10"/>
      <c r="AE10"/>
    </row>
    <row r="11" spans="1:31" ht="35.15" customHeight="1">
      <c r="B11" s="405"/>
      <c r="C11" s="405"/>
      <c r="D11" s="405"/>
      <c r="E11" s="405"/>
      <c r="F11" s="405"/>
      <c r="G11" s="26"/>
      <c r="H11" s="405"/>
      <c r="I11" s="405"/>
      <c r="J11"/>
      <c r="K11"/>
      <c r="L11"/>
      <c r="M11"/>
      <c r="N11"/>
      <c r="O11"/>
      <c r="P11"/>
      <c r="Q11"/>
      <c r="R11"/>
      <c r="S11"/>
      <c r="T11"/>
      <c r="U11"/>
      <c r="V11"/>
      <c r="W11"/>
      <c r="X11"/>
      <c r="Y11"/>
      <c r="Z11"/>
      <c r="AA11"/>
      <c r="AB11"/>
      <c r="AC11"/>
      <c r="AD11"/>
      <c r="AE11"/>
    </row>
    <row r="12" spans="1:31" ht="35.15" customHeight="1">
      <c r="B12" s="26" t="s">
        <v>1296</v>
      </c>
      <c r="C12" s="1395" t="e">
        <f>(IF(Worksheet!J48="",0,Worksheet!J48)+IF(Worksheet!J87="",0,Worksheet!J87)+IF(Worksheet!J107="",0,Worksheet!J107))+(IF(#REF!="",0,#REF!)+IF('Smart T-Stats'!K33="",0,'Smart T-Stats'!K33)+IF(#REF!="",0,#REF!)+IF(#REF!="",0,#REF!))</f>
        <v>#REF!</v>
      </c>
      <c r="D12" s="1395"/>
      <c r="E12" s="405"/>
      <c r="F12" s="405"/>
      <c r="G12" s="26" t="s">
        <v>1323</v>
      </c>
      <c r="H12" s="1395">
        <f>(Worksheet!D48+Worksheet!D87+Worksheet!D107)+(Admin!AE4+Admin!AE5+Admin!AE6+Admin!AE7+Admin!AE8+Admin!AE9+Admin!AE10+Admin!AE11+Admin!AE12+Admin!AE13+Admin!AE14+Admin!AE15+Admin!AE16+Admin!AE17+Admin!AE18+Admin!AE19+Admin!AE20+Admin!AE21+Admin!AE22+Admin!AE23+Admin!AE24)</f>
        <v>0</v>
      </c>
      <c r="I12" s="1395"/>
      <c r="J12"/>
      <c r="K12"/>
      <c r="L12"/>
      <c r="M12"/>
      <c r="N12"/>
      <c r="O12"/>
      <c r="P12"/>
      <c r="Q12"/>
      <c r="R12"/>
      <c r="S12"/>
      <c r="T12"/>
      <c r="U12"/>
      <c r="V12"/>
      <c r="W12"/>
      <c r="X12"/>
      <c r="Y12"/>
      <c r="Z12"/>
      <c r="AA12"/>
      <c r="AB12"/>
      <c r="AC12"/>
      <c r="AD12"/>
      <c r="AE12"/>
    </row>
    <row r="13" spans="1:31" ht="35.15" customHeight="1">
      <c r="B13"/>
      <c r="C13"/>
      <c r="D13"/>
      <c r="E13"/>
      <c r="F13"/>
      <c r="G13" s="121"/>
      <c r="H13"/>
      <c r="I13"/>
      <c r="J13"/>
      <c r="K13"/>
      <c r="L13"/>
      <c r="M13"/>
      <c r="N13"/>
      <c r="O13"/>
      <c r="P13"/>
      <c r="Q13"/>
      <c r="R13"/>
      <c r="S13"/>
      <c r="T13"/>
      <c r="U13"/>
      <c r="V13"/>
      <c r="W13"/>
      <c r="X13"/>
      <c r="Y13"/>
      <c r="Z13"/>
      <c r="AA13"/>
      <c r="AB13"/>
      <c r="AC13"/>
      <c r="AD13"/>
      <c r="AE13"/>
    </row>
    <row r="14" spans="1:31" ht="35.15" customHeight="1">
      <c r="B14" s="26" t="s">
        <v>1295</v>
      </c>
      <c r="C14" s="1396"/>
      <c r="D14" s="1396"/>
      <c r="E14"/>
      <c r="F14"/>
      <c r="G14" s="26" t="s">
        <v>867</v>
      </c>
      <c r="H14" s="1393"/>
      <c r="I14" s="1393"/>
      <c r="J14"/>
      <c r="K14"/>
      <c r="L14"/>
      <c r="M14"/>
      <c r="N14"/>
      <c r="O14"/>
      <c r="P14"/>
      <c r="Q14"/>
      <c r="R14"/>
      <c r="S14"/>
      <c r="T14"/>
      <c r="U14"/>
      <c r="V14"/>
      <c r="W14"/>
      <c r="X14"/>
      <c r="Y14"/>
      <c r="Z14"/>
      <c r="AA14"/>
      <c r="AB14"/>
      <c r="AC14"/>
      <c r="AD14"/>
      <c r="AE14"/>
    </row>
    <row r="15" spans="1:31" ht="35.15" customHeight="1">
      <c r="B15"/>
      <c r="C15"/>
      <c r="D15"/>
      <c r="E15"/>
      <c r="F15"/>
      <c r="G15" s="121"/>
      <c r="H15"/>
      <c r="I15"/>
      <c r="J15"/>
      <c r="K15"/>
      <c r="L15"/>
      <c r="M15"/>
      <c r="N15"/>
      <c r="O15"/>
      <c r="P15"/>
      <c r="Q15"/>
      <c r="R15"/>
      <c r="S15"/>
      <c r="T15"/>
      <c r="U15"/>
      <c r="V15"/>
      <c r="W15"/>
      <c r="X15"/>
      <c r="Y15"/>
      <c r="Z15"/>
      <c r="AA15"/>
      <c r="AB15"/>
      <c r="AC15"/>
      <c r="AD15"/>
      <c r="AE15"/>
    </row>
    <row r="16" spans="1:31" ht="35.15" customHeight="1">
      <c r="B16" s="26" t="s">
        <v>1476</v>
      </c>
      <c r="C16" s="1393"/>
      <c r="D16" s="1393"/>
      <c r="E16"/>
      <c r="F16"/>
      <c r="G16" s="26" t="s">
        <v>1297</v>
      </c>
      <c r="H16" s="1393"/>
      <c r="I16" s="1393"/>
      <c r="J16"/>
      <c r="K16"/>
      <c r="L16"/>
      <c r="M16"/>
      <c r="N16"/>
      <c r="O16"/>
      <c r="P16"/>
      <c r="Q16"/>
      <c r="R16"/>
      <c r="S16"/>
      <c r="T16"/>
      <c r="U16"/>
      <c r="V16"/>
      <c r="W16"/>
      <c r="X16"/>
      <c r="Y16"/>
      <c r="Z16"/>
      <c r="AA16"/>
      <c r="AB16"/>
      <c r="AC16"/>
      <c r="AD16"/>
      <c r="AE16"/>
    </row>
    <row r="17" spans="2:31" ht="35.15" customHeight="1">
      <c r="B17"/>
      <c r="C17"/>
      <c r="D17"/>
      <c r="E17"/>
      <c r="F17"/>
      <c r="G17" s="121"/>
      <c r="H17"/>
      <c r="I17"/>
      <c r="J17"/>
      <c r="K17"/>
      <c r="L17"/>
      <c r="M17"/>
      <c r="N17"/>
      <c r="O17"/>
      <c r="P17"/>
      <c r="Q17"/>
      <c r="R17"/>
      <c r="S17"/>
      <c r="T17"/>
      <c r="U17"/>
      <c r="V17"/>
      <c r="W17"/>
      <c r="X17"/>
      <c r="Y17"/>
      <c r="Z17"/>
      <c r="AA17"/>
      <c r="AB17"/>
      <c r="AC17"/>
      <c r="AD17"/>
      <c r="AE17"/>
    </row>
    <row r="18" spans="2:31" ht="35.15" customHeight="1">
      <c r="B18" s="26" t="s">
        <v>1298</v>
      </c>
      <c r="C18" s="1393"/>
      <c r="D18" s="1393"/>
      <c r="E18"/>
      <c r="F18"/>
      <c r="G18" s="26" t="s">
        <v>1299</v>
      </c>
      <c r="H18" s="1392"/>
      <c r="I18" s="1392"/>
      <c r="J18"/>
      <c r="K18"/>
      <c r="L18"/>
      <c r="M18"/>
      <c r="N18"/>
      <c r="O18"/>
      <c r="P18"/>
      <c r="Q18"/>
      <c r="R18"/>
      <c r="S18"/>
      <c r="T18"/>
      <c r="U18"/>
      <c r="V18"/>
      <c r="W18"/>
      <c r="X18"/>
      <c r="Y18"/>
      <c r="Z18"/>
      <c r="AA18"/>
      <c r="AB18"/>
      <c r="AC18"/>
      <c r="AD18"/>
      <c r="AE18"/>
    </row>
    <row r="19" spans="2:31" ht="35.15" customHeight="1">
      <c r="B19"/>
      <c r="C19"/>
      <c r="D19"/>
      <c r="E19"/>
      <c r="F19"/>
      <c r="G19" s="453" t="s">
        <v>1300</v>
      </c>
      <c r="H19"/>
      <c r="I19"/>
      <c r="J19"/>
      <c r="K19"/>
      <c r="L19"/>
      <c r="M19"/>
      <c r="N19"/>
      <c r="O19"/>
      <c r="P19"/>
      <c r="Q19"/>
      <c r="R19"/>
      <c r="S19"/>
      <c r="T19"/>
      <c r="U19"/>
      <c r="V19"/>
      <c r="W19"/>
      <c r="X19"/>
      <c r="Y19"/>
      <c r="Z19"/>
      <c r="AA19"/>
      <c r="AB19"/>
      <c r="AC19"/>
      <c r="AD19"/>
      <c r="AE19"/>
    </row>
    <row r="20" spans="2:31" ht="35.15" customHeight="1">
      <c r="B20" s="497" t="s">
        <v>1431</v>
      </c>
      <c r="C20" s="1392"/>
      <c r="D20" s="1392"/>
      <c r="E20"/>
      <c r="F20"/>
      <c r="G20"/>
      <c r="H20"/>
      <c r="I20"/>
      <c r="J20"/>
      <c r="K20"/>
      <c r="L20"/>
      <c r="M20"/>
      <c r="N20"/>
      <c r="O20"/>
      <c r="P20"/>
      <c r="Q20"/>
      <c r="R20"/>
      <c r="S20"/>
      <c r="T20"/>
      <c r="U20"/>
      <c r="V20"/>
      <c r="W20"/>
      <c r="X20"/>
      <c r="Y20"/>
      <c r="Z20"/>
      <c r="AA20"/>
      <c r="AB20"/>
      <c r="AC20"/>
      <c r="AD20"/>
      <c r="AE20"/>
    </row>
    <row r="21" spans="2:31" ht="35.15" customHeight="1">
      <c r="B21"/>
      <c r="C21"/>
      <c r="D21"/>
      <c r="E21"/>
      <c r="F21"/>
      <c r="G21"/>
      <c r="H21"/>
      <c r="I21"/>
      <c r="J21"/>
      <c r="K21"/>
      <c r="L21"/>
      <c r="M21"/>
      <c r="N21"/>
      <c r="O21"/>
      <c r="P21"/>
      <c r="Q21"/>
      <c r="R21"/>
      <c r="S21"/>
      <c r="T21"/>
      <c r="U21"/>
      <c r="V21"/>
      <c r="W21"/>
      <c r="X21"/>
      <c r="Y21"/>
      <c r="Z21"/>
      <c r="AA21"/>
      <c r="AB21"/>
      <c r="AC21"/>
      <c r="AD21"/>
      <c r="AE21"/>
    </row>
    <row r="22" spans="2:31" ht="35.15" customHeight="1">
      <c r="B22"/>
      <c r="C22"/>
      <c r="D22"/>
      <c r="E22"/>
      <c r="F22"/>
      <c r="G22"/>
      <c r="H22"/>
      <c r="I22"/>
      <c r="J22"/>
      <c r="K22"/>
      <c r="L22"/>
      <c r="M22"/>
      <c r="N22"/>
      <c r="O22"/>
      <c r="P22"/>
      <c r="Q22"/>
      <c r="R22"/>
      <c r="S22"/>
      <c r="T22"/>
      <c r="U22"/>
      <c r="V22"/>
      <c r="W22"/>
      <c r="X22"/>
      <c r="Y22"/>
      <c r="Z22"/>
      <c r="AA22"/>
      <c r="AB22"/>
      <c r="AC22"/>
      <c r="AD22"/>
      <c r="AE22"/>
    </row>
    <row r="23" spans="2:31" ht="35.15" customHeight="1">
      <c r="B23"/>
      <c r="C23"/>
      <c r="D23"/>
      <c r="E23"/>
      <c r="F23"/>
      <c r="G23"/>
      <c r="H23"/>
      <c r="I23"/>
      <c r="J23"/>
      <c r="K23"/>
      <c r="L23"/>
      <c r="M23"/>
      <c r="N23"/>
      <c r="O23"/>
      <c r="P23"/>
      <c r="Q23"/>
      <c r="R23"/>
      <c r="S23"/>
      <c r="T23"/>
      <c r="U23"/>
      <c r="V23"/>
      <c r="W23"/>
      <c r="X23"/>
      <c r="Y23"/>
      <c r="Z23"/>
      <c r="AA23"/>
      <c r="AB23"/>
      <c r="AC23"/>
      <c r="AD23"/>
      <c r="AE23"/>
    </row>
    <row r="24" spans="2:31" ht="35.15" customHeight="1">
      <c r="B24"/>
      <c r="C24"/>
      <c r="D24"/>
      <c r="E24"/>
      <c r="F24"/>
      <c r="G24"/>
      <c r="H24"/>
      <c r="I24"/>
      <c r="J24"/>
      <c r="K24"/>
      <c r="L24"/>
      <c r="M24"/>
      <c r="N24"/>
      <c r="O24"/>
      <c r="P24"/>
      <c r="Q24"/>
      <c r="R24"/>
      <c r="S24"/>
      <c r="T24"/>
      <c r="U24"/>
      <c r="V24"/>
      <c r="W24"/>
      <c r="X24"/>
      <c r="Y24"/>
      <c r="Z24"/>
      <c r="AA24"/>
      <c r="AB24"/>
      <c r="AC24"/>
      <c r="AD24"/>
      <c r="AE24"/>
    </row>
    <row r="25" spans="2:31" ht="35.15" customHeight="1">
      <c r="B25"/>
      <c r="C25"/>
      <c r="D25"/>
      <c r="E25"/>
      <c r="F25"/>
      <c r="G25"/>
      <c r="H25"/>
      <c r="I25"/>
      <c r="J25"/>
      <c r="K25"/>
      <c r="L25"/>
      <c r="M25"/>
      <c r="N25"/>
      <c r="O25"/>
      <c r="P25"/>
      <c r="Q25"/>
      <c r="R25"/>
      <c r="S25"/>
      <c r="T25"/>
      <c r="U25"/>
      <c r="V25"/>
      <c r="W25"/>
      <c r="X25"/>
      <c r="Y25"/>
      <c r="Z25"/>
      <c r="AA25"/>
      <c r="AB25"/>
      <c r="AC25"/>
      <c r="AD25"/>
      <c r="AE25"/>
    </row>
    <row r="26" spans="2:31" ht="35.15" customHeight="1">
      <c r="B26"/>
      <c r="C26"/>
      <c r="D26"/>
      <c r="E26"/>
      <c r="F26"/>
      <c r="G26"/>
      <c r="H26"/>
      <c r="I26"/>
      <c r="J26"/>
      <c r="K26"/>
      <c r="L26"/>
      <c r="M26"/>
      <c r="N26"/>
      <c r="O26"/>
      <c r="P26"/>
      <c r="Q26"/>
      <c r="R26"/>
      <c r="S26"/>
      <c r="T26"/>
      <c r="U26"/>
      <c r="V26"/>
      <c r="W26"/>
      <c r="X26"/>
      <c r="Y26"/>
      <c r="Z26"/>
      <c r="AA26"/>
      <c r="AB26"/>
      <c r="AC26"/>
      <c r="AD26"/>
      <c r="AE26"/>
    </row>
    <row r="27" spans="2:31" ht="35.15" customHeight="1">
      <c r="B27"/>
      <c r="C27"/>
      <c r="D27"/>
      <c r="E27"/>
      <c r="F27"/>
      <c r="G27"/>
      <c r="H27"/>
      <c r="I27"/>
      <c r="J27"/>
      <c r="K27"/>
      <c r="L27"/>
      <c r="M27"/>
      <c r="N27"/>
      <c r="O27"/>
      <c r="P27"/>
      <c r="Q27"/>
      <c r="R27"/>
      <c r="S27"/>
      <c r="T27"/>
      <c r="U27"/>
      <c r="V27"/>
      <c r="W27"/>
      <c r="X27"/>
      <c r="Y27"/>
      <c r="Z27"/>
      <c r="AA27"/>
      <c r="AB27"/>
      <c r="AC27"/>
      <c r="AD27"/>
      <c r="AE27"/>
    </row>
    <row r="28" spans="2:31" ht="35.15" customHeight="1">
      <c r="B28"/>
      <c r="C28"/>
      <c r="D28"/>
      <c r="E28"/>
      <c r="F28"/>
      <c r="G28"/>
      <c r="H28"/>
      <c r="I28"/>
      <c r="J28"/>
      <c r="K28"/>
      <c r="L28"/>
      <c r="M28"/>
      <c r="N28"/>
      <c r="O28"/>
      <c r="P28"/>
      <c r="Q28"/>
      <c r="R28"/>
      <c r="S28"/>
      <c r="T28"/>
      <c r="U28"/>
      <c r="V28"/>
      <c r="W28"/>
      <c r="X28"/>
      <c r="Y28"/>
      <c r="Z28"/>
      <c r="AA28"/>
      <c r="AB28"/>
      <c r="AC28"/>
      <c r="AD28"/>
      <c r="AE28"/>
    </row>
    <row r="29" spans="2:31" ht="35.15" customHeight="1">
      <c r="B29"/>
      <c r="C29"/>
      <c r="D29"/>
      <c r="E29"/>
      <c r="F29"/>
      <c r="G29"/>
      <c r="H29"/>
      <c r="I29"/>
      <c r="J29"/>
      <c r="K29"/>
      <c r="L29"/>
      <c r="M29"/>
      <c r="N29"/>
      <c r="O29"/>
      <c r="P29"/>
      <c r="Q29"/>
      <c r="R29"/>
      <c r="S29"/>
      <c r="T29"/>
      <c r="U29"/>
      <c r="V29"/>
      <c r="W29"/>
      <c r="X29"/>
      <c r="Y29"/>
      <c r="Z29"/>
      <c r="AA29"/>
      <c r="AB29"/>
      <c r="AC29"/>
      <c r="AD29"/>
      <c r="AE29"/>
    </row>
    <row r="30" spans="2:31" ht="35.15" customHeight="1">
      <c r="B30"/>
      <c r="C30"/>
      <c r="D30"/>
      <c r="E30"/>
      <c r="F30"/>
      <c r="G30"/>
      <c r="H30"/>
      <c r="I30"/>
      <c r="J30"/>
      <c r="K30"/>
      <c r="L30"/>
      <c r="M30"/>
      <c r="N30"/>
      <c r="O30"/>
      <c r="P30"/>
      <c r="Q30"/>
      <c r="R30"/>
      <c r="S30"/>
      <c r="T30"/>
      <c r="U30"/>
      <c r="V30"/>
      <c r="W30"/>
      <c r="X30"/>
      <c r="Y30"/>
      <c r="Z30"/>
      <c r="AA30"/>
      <c r="AB30"/>
      <c r="AC30"/>
      <c r="AD30"/>
      <c r="AE30"/>
    </row>
    <row r="31" spans="2:31" ht="35.15" customHeight="1">
      <c r="B31"/>
      <c r="C31"/>
      <c r="D31"/>
      <c r="E31"/>
      <c r="F31"/>
      <c r="G31"/>
      <c r="H31"/>
      <c r="I31"/>
      <c r="J31"/>
      <c r="K31"/>
      <c r="L31"/>
      <c r="M31"/>
      <c r="N31"/>
      <c r="O31"/>
      <c r="P31"/>
      <c r="Q31"/>
      <c r="R31"/>
      <c r="S31"/>
      <c r="T31"/>
      <c r="U31"/>
      <c r="V31"/>
      <c r="W31"/>
      <c r="X31"/>
      <c r="Y31"/>
      <c r="Z31"/>
      <c r="AA31"/>
      <c r="AB31"/>
      <c r="AC31"/>
      <c r="AD31"/>
      <c r="AE31"/>
    </row>
    <row r="32" spans="2:31" ht="35.15" customHeight="1">
      <c r="B32"/>
      <c r="C32"/>
      <c r="D32"/>
      <c r="E32"/>
      <c r="F32"/>
      <c r="G32"/>
      <c r="H32"/>
      <c r="I32"/>
      <c r="J32"/>
      <c r="K32"/>
      <c r="L32"/>
      <c r="M32"/>
      <c r="N32"/>
      <c r="O32"/>
      <c r="P32"/>
      <c r="Q32"/>
      <c r="R32"/>
      <c r="S32"/>
      <c r="T32"/>
      <c r="U32"/>
      <c r="V32"/>
      <c r="W32"/>
      <c r="X32"/>
      <c r="Y32"/>
      <c r="Z32"/>
      <c r="AA32"/>
      <c r="AB32"/>
      <c r="AC32"/>
      <c r="AD32"/>
      <c r="AE32"/>
    </row>
    <row r="33" spans="2:31" ht="35.15" customHeight="1">
      <c r="B33"/>
      <c r="C33"/>
      <c r="D33"/>
      <c r="E33"/>
      <c r="F33"/>
      <c r="G33"/>
      <c r="H33"/>
      <c r="I33"/>
      <c r="J33"/>
      <c r="K33"/>
      <c r="L33"/>
      <c r="M33"/>
      <c r="N33"/>
      <c r="O33"/>
      <c r="P33"/>
      <c r="Q33"/>
      <c r="R33"/>
      <c r="S33"/>
      <c r="T33"/>
      <c r="U33"/>
      <c r="V33"/>
      <c r="W33"/>
      <c r="X33"/>
      <c r="Y33"/>
      <c r="Z33"/>
      <c r="AA33"/>
      <c r="AB33"/>
      <c r="AC33"/>
      <c r="AD33"/>
      <c r="AE33"/>
    </row>
    <row r="34" spans="2:31" ht="35.15" customHeight="1">
      <c r="B34"/>
      <c r="C34"/>
      <c r="D34"/>
      <c r="E34"/>
      <c r="F34"/>
      <c r="G34"/>
      <c r="H34"/>
      <c r="I34"/>
      <c r="J34"/>
      <c r="K34"/>
      <c r="L34"/>
      <c r="M34"/>
      <c r="N34"/>
      <c r="O34"/>
      <c r="P34"/>
      <c r="Q34"/>
      <c r="R34"/>
      <c r="S34"/>
      <c r="T34"/>
      <c r="U34"/>
      <c r="V34"/>
      <c r="W34"/>
      <c r="X34"/>
      <c r="Y34"/>
      <c r="Z34"/>
      <c r="AA34"/>
      <c r="AB34"/>
      <c r="AC34"/>
      <c r="AD34"/>
      <c r="AE34"/>
    </row>
    <row r="35" spans="2:31" ht="35.15" customHeight="1">
      <c r="B35"/>
      <c r="C35"/>
      <c r="D35"/>
      <c r="E35"/>
      <c r="F35"/>
      <c r="G35"/>
      <c r="H35"/>
      <c r="I35"/>
      <c r="J35"/>
      <c r="K35"/>
      <c r="L35"/>
      <c r="M35"/>
      <c r="N35"/>
      <c r="O35"/>
      <c r="P35"/>
      <c r="Q35"/>
      <c r="R35"/>
      <c r="S35"/>
      <c r="T35"/>
      <c r="U35"/>
      <c r="V35"/>
      <c r="W35"/>
      <c r="X35"/>
      <c r="Y35"/>
      <c r="Z35"/>
      <c r="AA35"/>
      <c r="AB35"/>
      <c r="AC35"/>
      <c r="AD35"/>
      <c r="AE35"/>
    </row>
    <row r="36" spans="2:31" ht="35.15" customHeight="1">
      <c r="B36"/>
      <c r="C36"/>
      <c r="D36"/>
      <c r="E36"/>
      <c r="F36"/>
      <c r="G36"/>
      <c r="H36"/>
      <c r="I36"/>
      <c r="J36"/>
      <c r="K36"/>
      <c r="L36"/>
      <c r="M36"/>
      <c r="N36"/>
      <c r="O36"/>
      <c r="P36"/>
      <c r="Q36"/>
      <c r="R36"/>
      <c r="S36"/>
      <c r="T36"/>
      <c r="U36"/>
      <c r="V36"/>
      <c r="W36"/>
      <c r="X36"/>
      <c r="Y36"/>
      <c r="Z36"/>
      <c r="AA36"/>
      <c r="AB36"/>
      <c r="AC36"/>
      <c r="AD36"/>
      <c r="AE36"/>
    </row>
    <row r="37" spans="2:31" ht="35.15" customHeight="1">
      <c r="B37"/>
      <c r="C37"/>
      <c r="D37"/>
      <c r="E37"/>
      <c r="F37"/>
      <c r="G37"/>
      <c r="H37"/>
      <c r="I37"/>
      <c r="J37"/>
      <c r="K37"/>
      <c r="L37"/>
      <c r="M37"/>
      <c r="N37"/>
      <c r="O37"/>
      <c r="P37"/>
      <c r="Q37"/>
      <c r="R37"/>
      <c r="S37"/>
      <c r="T37"/>
      <c r="U37"/>
      <c r="V37"/>
      <c r="W37"/>
      <c r="X37"/>
      <c r="Y37"/>
      <c r="Z37"/>
      <c r="AA37"/>
      <c r="AB37"/>
      <c r="AC37"/>
      <c r="AD37"/>
      <c r="AE37"/>
    </row>
    <row r="38" spans="2:31" ht="35.15" customHeight="1">
      <c r="B38"/>
      <c r="C38"/>
      <c r="D38"/>
      <c r="E38"/>
      <c r="F38"/>
      <c r="G38"/>
      <c r="H38"/>
      <c r="I38"/>
      <c r="J38"/>
      <c r="K38"/>
      <c r="L38"/>
      <c r="M38"/>
      <c r="N38"/>
      <c r="O38"/>
      <c r="P38"/>
      <c r="Q38"/>
      <c r="R38"/>
      <c r="S38"/>
      <c r="T38"/>
      <c r="U38"/>
      <c r="V38"/>
      <c r="W38"/>
      <c r="X38"/>
      <c r="Y38"/>
      <c r="Z38"/>
      <c r="AA38"/>
      <c r="AB38"/>
      <c r="AC38"/>
      <c r="AD38"/>
      <c r="AE38"/>
    </row>
    <row r="39" spans="2:31" ht="35.15" customHeight="1">
      <c r="B39"/>
      <c r="C39"/>
      <c r="D39"/>
      <c r="E39"/>
      <c r="F39"/>
      <c r="G39"/>
      <c r="H39"/>
      <c r="I39"/>
      <c r="J39"/>
      <c r="K39"/>
      <c r="L39"/>
      <c r="M39"/>
      <c r="N39"/>
      <c r="O39"/>
      <c r="P39"/>
      <c r="Q39"/>
      <c r="R39"/>
      <c r="S39"/>
      <c r="T39"/>
      <c r="U39"/>
      <c r="V39"/>
      <c r="W39"/>
      <c r="X39"/>
      <c r="Y39"/>
      <c r="Z39"/>
      <c r="AA39"/>
      <c r="AB39"/>
      <c r="AC39"/>
      <c r="AD39"/>
      <c r="AE39"/>
    </row>
    <row r="40" spans="2:31" ht="35.15" customHeight="1">
      <c r="B40"/>
      <c r="C40"/>
      <c r="D40"/>
      <c r="E40"/>
      <c r="F40"/>
      <c r="G40"/>
      <c r="H40"/>
      <c r="I40"/>
      <c r="J40"/>
      <c r="K40"/>
      <c r="L40"/>
      <c r="M40"/>
      <c r="N40"/>
      <c r="O40"/>
      <c r="P40"/>
      <c r="Q40"/>
      <c r="R40"/>
      <c r="S40"/>
      <c r="T40"/>
      <c r="U40"/>
      <c r="V40"/>
      <c r="W40"/>
      <c r="X40"/>
      <c r="Y40"/>
      <c r="Z40"/>
      <c r="AA40"/>
      <c r="AB40"/>
      <c r="AC40"/>
      <c r="AD40"/>
      <c r="AE40"/>
    </row>
    <row r="41" spans="2:31" ht="35.15" customHeight="1">
      <c r="B41"/>
      <c r="C41"/>
      <c r="D41"/>
      <c r="E41"/>
      <c r="F41"/>
      <c r="G41"/>
      <c r="H41"/>
      <c r="I41"/>
      <c r="J41"/>
      <c r="K41"/>
      <c r="L41"/>
      <c r="M41"/>
      <c r="N41"/>
      <c r="O41"/>
      <c r="P41"/>
      <c r="Q41"/>
      <c r="R41"/>
      <c r="S41"/>
      <c r="T41"/>
      <c r="U41"/>
      <c r="V41"/>
      <c r="W41"/>
      <c r="X41"/>
      <c r="Y41"/>
      <c r="Z41"/>
      <c r="AA41"/>
      <c r="AB41"/>
      <c r="AC41"/>
      <c r="AD41"/>
      <c r="AE41"/>
    </row>
    <row r="42" spans="2:31" ht="35.15" customHeight="1">
      <c r="B42"/>
      <c r="C42"/>
      <c r="D42"/>
      <c r="E42"/>
      <c r="F42"/>
      <c r="G42"/>
      <c r="H42"/>
      <c r="I42"/>
      <c r="J42"/>
      <c r="K42"/>
      <c r="L42"/>
      <c r="M42"/>
      <c r="N42"/>
      <c r="O42"/>
      <c r="P42"/>
      <c r="Q42"/>
      <c r="R42"/>
      <c r="S42"/>
      <c r="T42"/>
      <c r="U42"/>
      <c r="V42"/>
      <c r="W42"/>
      <c r="X42"/>
      <c r="Y42"/>
      <c r="Z42"/>
      <c r="AA42"/>
      <c r="AB42"/>
      <c r="AC42"/>
      <c r="AD42"/>
      <c r="AE42"/>
    </row>
    <row r="43" spans="2:31" ht="35.15" customHeight="1">
      <c r="B43"/>
      <c r="C43"/>
      <c r="D43"/>
      <c r="E43"/>
      <c r="F43"/>
      <c r="G43"/>
      <c r="H43"/>
      <c r="I43"/>
      <c r="J43"/>
      <c r="K43"/>
      <c r="L43"/>
      <c r="M43"/>
      <c r="N43"/>
      <c r="O43"/>
      <c r="P43"/>
      <c r="Q43"/>
      <c r="R43"/>
      <c r="S43"/>
      <c r="T43"/>
      <c r="U43"/>
      <c r="V43"/>
      <c r="W43"/>
      <c r="X43"/>
      <c r="Y43"/>
      <c r="Z43"/>
      <c r="AA43"/>
      <c r="AB43"/>
      <c r="AC43"/>
      <c r="AD43"/>
      <c r="AE43"/>
    </row>
    <row r="44" spans="2:31" ht="35.15" customHeight="1">
      <c r="B44"/>
      <c r="C44"/>
      <c r="D44"/>
      <c r="E44"/>
      <c r="F44"/>
      <c r="G44"/>
      <c r="H44"/>
      <c r="I44"/>
      <c r="J44"/>
      <c r="K44"/>
      <c r="L44"/>
      <c r="M44"/>
      <c r="N44"/>
      <c r="O44"/>
      <c r="P44"/>
      <c r="Q44"/>
      <c r="R44"/>
      <c r="S44"/>
      <c r="T44"/>
      <c r="U44"/>
      <c r="V44"/>
      <c r="W44"/>
      <c r="X44"/>
      <c r="Y44"/>
      <c r="Z44"/>
      <c r="AA44"/>
      <c r="AB44"/>
      <c r="AC44"/>
      <c r="AD44"/>
      <c r="AE44"/>
    </row>
    <row r="45" spans="2:31" ht="35.15" customHeight="1">
      <c r="B45"/>
      <c r="C45"/>
      <c r="D45"/>
      <c r="E45"/>
      <c r="F45"/>
      <c r="G45"/>
      <c r="H45"/>
      <c r="I45"/>
      <c r="J45"/>
      <c r="K45"/>
      <c r="L45"/>
      <c r="M45"/>
      <c r="N45"/>
      <c r="O45"/>
      <c r="P45"/>
      <c r="Q45"/>
      <c r="R45"/>
      <c r="S45"/>
      <c r="T45"/>
      <c r="U45"/>
      <c r="V45"/>
      <c r="W45"/>
      <c r="X45"/>
      <c r="Y45"/>
      <c r="Z45"/>
      <c r="AA45"/>
      <c r="AB45"/>
      <c r="AC45"/>
      <c r="AD45"/>
      <c r="AE45"/>
    </row>
    <row r="46" spans="2:31">
      <c r="B46"/>
      <c r="C46"/>
      <c r="D46"/>
      <c r="E46"/>
      <c r="F46"/>
      <c r="G46"/>
      <c r="H46"/>
      <c r="I46"/>
      <c r="J46"/>
      <c r="K46"/>
      <c r="L46"/>
      <c r="M46"/>
      <c r="N46"/>
      <c r="O46"/>
      <c r="P46"/>
      <c r="Q46"/>
      <c r="R46"/>
      <c r="S46"/>
      <c r="T46"/>
      <c r="U46"/>
      <c r="V46"/>
      <c r="W46"/>
      <c r="X46"/>
      <c r="Y46"/>
      <c r="Z46"/>
      <c r="AA46"/>
      <c r="AB46"/>
      <c r="AC46"/>
      <c r="AD46"/>
      <c r="AE46"/>
    </row>
    <row r="47" spans="2:31">
      <c r="B47"/>
      <c r="C47"/>
      <c r="D47"/>
      <c r="E47"/>
      <c r="F47"/>
      <c r="G47"/>
      <c r="H47"/>
      <c r="I47"/>
      <c r="J47"/>
      <c r="K47"/>
      <c r="L47"/>
      <c r="M47"/>
      <c r="N47"/>
      <c r="O47"/>
      <c r="P47"/>
      <c r="Q47"/>
      <c r="R47"/>
      <c r="S47"/>
      <c r="T47"/>
      <c r="U47"/>
      <c r="V47"/>
      <c r="W47"/>
      <c r="X47"/>
      <c r="Y47"/>
      <c r="Z47"/>
      <c r="AA47"/>
      <c r="AB47"/>
      <c r="AC47"/>
      <c r="AD47"/>
      <c r="AE47"/>
    </row>
    <row r="48" spans="2:31">
      <c r="B48"/>
      <c r="C48"/>
      <c r="D48"/>
      <c r="E48"/>
      <c r="F48"/>
      <c r="G48"/>
      <c r="H48"/>
      <c r="I48"/>
      <c r="J48"/>
      <c r="K48"/>
      <c r="L48"/>
      <c r="M48"/>
      <c r="N48"/>
      <c r="O48"/>
      <c r="P48"/>
      <c r="Q48"/>
      <c r="R48"/>
      <c r="S48"/>
      <c r="T48"/>
      <c r="U48"/>
      <c r="V48"/>
      <c r="W48"/>
      <c r="X48"/>
      <c r="Y48"/>
      <c r="Z48"/>
      <c r="AA48"/>
      <c r="AB48"/>
      <c r="AC48"/>
      <c r="AD48"/>
      <c r="AE48"/>
    </row>
    <row r="49" spans="2:31">
      <c r="B49"/>
      <c r="C49"/>
      <c r="D49"/>
      <c r="E49"/>
      <c r="F49"/>
      <c r="G49"/>
      <c r="H49"/>
      <c r="I49"/>
      <c r="J49"/>
      <c r="K49"/>
      <c r="L49"/>
      <c r="M49"/>
      <c r="N49"/>
      <c r="O49"/>
      <c r="P49"/>
      <c r="Q49"/>
      <c r="R49"/>
      <c r="S49"/>
      <c r="T49"/>
      <c r="U49"/>
      <c r="V49"/>
      <c r="W49"/>
      <c r="X49"/>
      <c r="Y49"/>
      <c r="Z49"/>
      <c r="AA49"/>
      <c r="AB49"/>
      <c r="AC49"/>
      <c r="AD49"/>
      <c r="AE49"/>
    </row>
    <row r="50" spans="2:31">
      <c r="B50"/>
      <c r="C50"/>
      <c r="D50"/>
      <c r="E50"/>
      <c r="F50"/>
      <c r="G50"/>
      <c r="H50"/>
      <c r="I50"/>
      <c r="J50"/>
      <c r="K50"/>
      <c r="L50"/>
      <c r="M50"/>
      <c r="N50"/>
      <c r="O50"/>
      <c r="P50"/>
      <c r="Q50"/>
      <c r="R50"/>
      <c r="S50"/>
      <c r="T50"/>
      <c r="U50"/>
      <c r="V50"/>
      <c r="W50"/>
      <c r="X50"/>
      <c r="Y50"/>
      <c r="Z50"/>
      <c r="AA50"/>
      <c r="AB50"/>
      <c r="AC50"/>
      <c r="AD50"/>
      <c r="AE50"/>
    </row>
    <row r="51" spans="2:31">
      <c r="B51"/>
      <c r="C51"/>
      <c r="D51"/>
      <c r="E51"/>
      <c r="F51"/>
      <c r="G51"/>
      <c r="H51"/>
      <c r="I51"/>
      <c r="J51"/>
      <c r="K51"/>
      <c r="L51"/>
      <c r="M51"/>
      <c r="N51"/>
      <c r="O51"/>
      <c r="P51"/>
      <c r="Q51"/>
      <c r="R51"/>
      <c r="S51"/>
      <c r="T51"/>
      <c r="U51"/>
      <c r="V51"/>
      <c r="W51"/>
      <c r="X51"/>
      <c r="Y51"/>
      <c r="Z51"/>
      <c r="AA51"/>
      <c r="AB51"/>
      <c r="AC51"/>
      <c r="AD51"/>
      <c r="AE51"/>
    </row>
    <row r="52" spans="2:31">
      <c r="B52"/>
      <c r="C52"/>
      <c r="D52"/>
      <c r="E52"/>
      <c r="F52"/>
      <c r="G52"/>
      <c r="H52"/>
      <c r="I52"/>
      <c r="J52"/>
      <c r="K52"/>
      <c r="L52"/>
      <c r="M52"/>
      <c r="N52"/>
      <c r="O52"/>
      <c r="P52"/>
      <c r="Q52"/>
      <c r="R52"/>
      <c r="S52"/>
      <c r="T52"/>
      <c r="U52"/>
      <c r="V52"/>
      <c r="W52"/>
      <c r="X52"/>
      <c r="Y52"/>
      <c r="Z52"/>
      <c r="AA52"/>
      <c r="AB52"/>
      <c r="AC52"/>
      <c r="AD52"/>
      <c r="AE52"/>
    </row>
    <row r="53" spans="2:31">
      <c r="B53"/>
      <c r="C53"/>
      <c r="D53"/>
      <c r="E53"/>
      <c r="F53"/>
      <c r="G53"/>
      <c r="H53"/>
      <c r="I53"/>
      <c r="J53"/>
      <c r="K53"/>
      <c r="L53"/>
      <c r="M53"/>
      <c r="N53"/>
      <c r="O53"/>
      <c r="P53"/>
      <c r="Q53"/>
      <c r="R53"/>
      <c r="S53"/>
      <c r="T53"/>
      <c r="U53"/>
      <c r="V53"/>
      <c r="W53"/>
      <c r="X53"/>
      <c r="Y53"/>
      <c r="Z53"/>
      <c r="AA53"/>
      <c r="AB53"/>
      <c r="AC53"/>
      <c r="AD53"/>
      <c r="AE53"/>
    </row>
    <row r="54" spans="2:31">
      <c r="B54"/>
      <c r="C54"/>
      <c r="D54"/>
      <c r="E54"/>
      <c r="F54"/>
      <c r="G54"/>
      <c r="H54"/>
      <c r="I54"/>
      <c r="J54"/>
      <c r="K54"/>
      <c r="L54"/>
      <c r="M54"/>
      <c r="N54"/>
      <c r="O54"/>
      <c r="P54"/>
      <c r="Q54"/>
      <c r="R54"/>
      <c r="S54"/>
      <c r="T54"/>
      <c r="U54"/>
      <c r="V54"/>
      <c r="W54"/>
      <c r="X54"/>
      <c r="Y54"/>
      <c r="Z54"/>
      <c r="AA54"/>
      <c r="AB54"/>
      <c r="AC54"/>
      <c r="AD54"/>
      <c r="AE54"/>
    </row>
    <row r="55" spans="2:31">
      <c r="B55"/>
      <c r="C55"/>
      <c r="D55"/>
      <c r="E55"/>
      <c r="F55"/>
      <c r="G55"/>
      <c r="H55"/>
      <c r="I55"/>
      <c r="J55"/>
      <c r="K55"/>
      <c r="L55"/>
      <c r="M55"/>
      <c r="N55"/>
      <c r="O55"/>
      <c r="P55"/>
      <c r="Q55"/>
      <c r="R55"/>
      <c r="S55"/>
      <c r="T55"/>
      <c r="U55"/>
      <c r="V55"/>
      <c r="W55"/>
      <c r="X55"/>
      <c r="Y55"/>
      <c r="Z55"/>
      <c r="AA55"/>
      <c r="AB55"/>
      <c r="AC55"/>
      <c r="AD55"/>
      <c r="AE55"/>
    </row>
  </sheetData>
  <sheetProtection algorithmName="SHA-512" hashValue="3rsjrRg8KA6PyIWqErm1LEV3+L4JlXtXVQh/JwtcsdR2LYkfTgzxGTUYy01lE1uYRZsR911vHvkb4YM1bW+joA==" saltValue="/kz4U0U8O8b9DtFdvKFD9w==" spinCount="100000" sheet="1" objects="1" scenarios="1"/>
  <mergeCells count="15">
    <mergeCell ref="C20:D20"/>
    <mergeCell ref="H18:I18"/>
    <mergeCell ref="C18:D18"/>
    <mergeCell ref="H6:I6"/>
    <mergeCell ref="H8:I8"/>
    <mergeCell ref="H10:I10"/>
    <mergeCell ref="C16:D16"/>
    <mergeCell ref="C10:D10"/>
    <mergeCell ref="C8:D8"/>
    <mergeCell ref="C6:D6"/>
    <mergeCell ref="H16:I16"/>
    <mergeCell ref="C12:D12"/>
    <mergeCell ref="H12:I12"/>
    <mergeCell ref="C14:D14"/>
    <mergeCell ref="H14:I14"/>
  </mergeCells>
  <conditionalFormatting sqref="B14 G14 B16 G16 B18 G18:G19">
    <cfRule type="expression" dxfId="24" priority="4">
      <formula>$A$1=1043</formula>
    </cfRule>
  </conditionalFormatting>
  <conditionalFormatting sqref="B20">
    <cfRule type="expression" dxfId="23" priority="2">
      <formula>$A$1=1043</formula>
    </cfRule>
  </conditionalFormatting>
  <conditionalFormatting sqref="B3:I12">
    <cfRule type="expression" dxfId="22" priority="6">
      <formula>$A$1=1043</formula>
    </cfRule>
  </conditionalFormatting>
  <conditionalFormatting sqref="C6:D6 H6:I6 C8:D8 H8:I8 C10:D10 H10:I10 C12:D12 H12:I12">
    <cfRule type="expression" dxfId="21" priority="5">
      <formula>$A$1=1043</formula>
    </cfRule>
  </conditionalFormatting>
  <conditionalFormatting sqref="C14:D14 H14:I14 C16:D16 H16:I16 C18:D18 H18:I18">
    <cfRule type="expression" dxfId="20" priority="3">
      <formula>$A$1=1043</formula>
    </cfRule>
  </conditionalFormatting>
  <conditionalFormatting sqref="C20:D20">
    <cfRule type="expression" dxfId="19" priority="1">
      <formula>$A$1=1043</formula>
    </cfRule>
  </conditionalFormatting>
  <dataValidations count="3">
    <dataValidation type="list" allowBlank="1" showInputMessage="1" showErrorMessage="1" sqref="H16:I16" xr:uid="{6434633E-B541-458B-B820-76F567D50440}">
      <formula1>"Home Comfort, HPwES, Home Comfort and HPwES, Home Comfort (Income Eligible), HPwES (Income Eligible), Home Comfort and HPwES (Income Eligible)"</formula1>
    </dataValidation>
    <dataValidation type="list" allowBlank="1" showInputMessage="1" showErrorMessage="1" sqref="C18" xr:uid="{DB364EEF-D8BF-4EC9-9CF5-86B8511F8A13}">
      <formula1>"Smart Energy, OBR"</formula1>
    </dataValidation>
    <dataValidation type="list" allowBlank="1" showInputMessage="1" showErrorMessage="1" sqref="H14:I14" xr:uid="{480DC80C-F794-4AB0-A742-0D68BBB591D3}">
      <formula1>"Home Comfort, HPwES, Home Comfort and HPwES"</formula1>
    </dataValidation>
  </dataValidations>
  <pageMargins left="0.7" right="0.7" top="0.75" bottom="0.75" header="0.3" footer="0.3"/>
  <pageSetup orientation="portrait" r:id="rId1"/>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dimension ref="A1:O214"/>
  <sheetViews>
    <sheetView showGridLines="0" zoomScale="90" zoomScaleNormal="90" zoomScaleSheetLayoutView="90" workbookViewId="0">
      <selection sqref="A1:J1"/>
    </sheetView>
  </sheetViews>
  <sheetFormatPr defaultColWidth="0" defaultRowHeight="14.5" zeroHeight="1"/>
  <cols>
    <col min="1" max="1" width="11.54296875" style="38" customWidth="1"/>
    <col min="2" max="2" width="12.1796875" style="38" customWidth="1"/>
    <col min="3" max="3" width="11.54296875" style="38" customWidth="1"/>
    <col min="4" max="4" width="15.7265625" style="38" customWidth="1"/>
    <col min="5" max="5" width="10.54296875" style="38" customWidth="1"/>
    <col min="6" max="6" width="12" style="38" customWidth="1"/>
    <col min="7" max="7" width="11.54296875" style="38" customWidth="1"/>
    <col min="8" max="10" width="10.54296875" style="38" customWidth="1"/>
    <col min="11" max="11" width="19.54296875" style="38" customWidth="1"/>
    <col min="12" max="13" width="10.54296875" style="38" customWidth="1"/>
    <col min="14" max="14" width="9.1796875" style="38" customWidth="1"/>
    <col min="15" max="15" width="13.1796875" style="38" customWidth="1"/>
    <col min="16" max="16384" width="8.7265625" style="38" hidden="1"/>
  </cols>
  <sheetData>
    <row r="1" spans="1:15" ht="55" customHeight="1">
      <c r="A1" s="1410" t="str">
        <f>Development!$A$3&amp;" Residential Efficiency Program"</f>
        <v>2025 Residential Efficiency Program</v>
      </c>
      <c r="B1" s="1410"/>
      <c r="C1" s="1410"/>
      <c r="D1" s="1410"/>
      <c r="E1" s="1410"/>
      <c r="F1" s="1410"/>
      <c r="G1" s="1410"/>
      <c r="H1" s="1410"/>
      <c r="I1" s="1410"/>
      <c r="J1" s="1410"/>
      <c r="K1" s="6"/>
      <c r="L1" s="6"/>
      <c r="M1" s="6"/>
      <c r="N1" s="6"/>
      <c r="O1" s="6"/>
    </row>
    <row r="2" spans="1:15" ht="49" customHeight="1">
      <c r="A2" s="1411" t="s">
        <v>100</v>
      </c>
      <c r="B2" s="1411"/>
      <c r="C2" s="1411"/>
      <c r="D2" s="1411"/>
      <c r="E2" s="1411"/>
      <c r="F2" s="1411"/>
      <c r="G2" s="1411"/>
      <c r="H2" s="1411"/>
      <c r="I2" s="1411"/>
      <c r="J2" s="1411"/>
      <c r="K2" s="7"/>
      <c r="L2" s="7"/>
      <c r="M2" s="7"/>
      <c r="N2" s="7"/>
      <c r="O2" s="7"/>
    </row>
    <row r="3" spans="1:15" ht="37" customHeight="1">
      <c r="A3" s="1412" t="s">
        <v>101</v>
      </c>
      <c r="B3" s="1412"/>
      <c r="C3" s="1412"/>
      <c r="D3" s="1412"/>
      <c r="E3" s="1412"/>
      <c r="F3" s="1412"/>
      <c r="G3" s="1412"/>
      <c r="H3" s="1412"/>
      <c r="I3" s="1412"/>
      <c r="J3" s="1412"/>
      <c r="K3" s="7"/>
      <c r="L3" s="7"/>
      <c r="M3" s="7"/>
      <c r="N3" s="7"/>
      <c r="O3" s="7"/>
    </row>
    <row r="4" spans="1:15" ht="23.5" thickBot="1">
      <c r="A4" s="23" t="s">
        <v>102</v>
      </c>
      <c r="B4" s="23"/>
      <c r="C4" s="23"/>
      <c r="D4" s="23"/>
      <c r="E4" s="23"/>
      <c r="F4" s="23"/>
      <c r="G4" s="23"/>
      <c r="H4" s="23"/>
      <c r="I4" s="23"/>
      <c r="J4" s="23"/>
      <c r="K4" s="23"/>
      <c r="L4" s="23"/>
      <c r="M4" s="23"/>
      <c r="N4" s="23"/>
      <c r="O4" s="23"/>
    </row>
    <row r="5" spans="1:15" ht="18.75" customHeight="1">
      <c r="A5" s="4"/>
      <c r="B5" s="4"/>
      <c r="C5" s="4"/>
      <c r="D5" s="4"/>
      <c r="E5" s="4"/>
      <c r="F5" s="4"/>
      <c r="G5" s="4"/>
      <c r="H5" s="4"/>
      <c r="I5" s="4"/>
      <c r="J5" s="4"/>
      <c r="K5" s="4"/>
      <c r="L5" s="4"/>
      <c r="M5" s="4"/>
      <c r="N5" s="4"/>
      <c r="O5" s="4"/>
    </row>
    <row r="6" spans="1:15" ht="18" customHeight="1">
      <c r="A6" s="19" t="s">
        <v>104</v>
      </c>
      <c r="B6" s="223" t="e">
        <f>#REF!</f>
        <v>#REF!</v>
      </c>
      <c r="C6" s="124"/>
      <c r="D6" s="19"/>
      <c r="E6" s="19"/>
      <c r="F6" s="19"/>
      <c r="G6" s="19" t="s">
        <v>57</v>
      </c>
      <c r="H6" s="1408" t="e">
        <f>IF(#REF!="","",#REF!)</f>
        <v>#REF!</v>
      </c>
      <c r="I6" s="1408"/>
      <c r="J6" s="124"/>
      <c r="K6" s="7"/>
      <c r="L6" s="7"/>
      <c r="M6" s="7"/>
      <c r="N6" s="7"/>
      <c r="O6" s="7"/>
    </row>
    <row r="7" spans="1:15" ht="18" customHeight="1">
      <c r="A7" s="19"/>
      <c r="B7" s="19"/>
      <c r="C7" s="19"/>
      <c r="D7" s="19"/>
      <c r="E7" s="19"/>
      <c r="F7" s="19"/>
      <c r="G7" s="19"/>
      <c r="H7" s="19"/>
      <c r="I7" s="15"/>
      <c r="J7" s="15"/>
      <c r="K7" s="7"/>
      <c r="L7" s="7"/>
      <c r="M7" s="7"/>
      <c r="N7" s="7"/>
      <c r="O7" s="7"/>
    </row>
    <row r="8" spans="1:15" ht="18" customHeight="1">
      <c r="B8" s="19"/>
      <c r="D8" s="19"/>
      <c r="E8" s="19"/>
      <c r="F8" s="19"/>
      <c r="G8" s="19" t="s">
        <v>103</v>
      </c>
      <c r="H8" s="1408" t="e">
        <f>IF(#REF!="","",#REF!)</f>
        <v>#REF!</v>
      </c>
      <c r="I8" s="1408"/>
      <c r="J8" s="124"/>
      <c r="K8" s="7"/>
      <c r="L8" s="7"/>
      <c r="M8" s="7"/>
      <c r="N8" s="7"/>
      <c r="O8" s="7"/>
    </row>
    <row r="9" spans="1:15" ht="23">
      <c r="B9" s="20"/>
      <c r="C9" s="20"/>
      <c r="D9" s="20"/>
      <c r="E9" s="20"/>
      <c r="F9" s="20"/>
      <c r="G9" s="20"/>
      <c r="H9" s="20"/>
      <c r="I9" s="20"/>
      <c r="J9" s="20"/>
      <c r="K9" s="20"/>
      <c r="L9" s="20"/>
      <c r="M9" s="13"/>
      <c r="N9" s="20"/>
      <c r="O9" s="20"/>
    </row>
    <row r="10" spans="1:15" ht="30.5">
      <c r="A10" s="15"/>
      <c r="B10" s="65" t="s">
        <v>26</v>
      </c>
      <c r="C10" s="66"/>
      <c r="D10" s="65" t="s">
        <v>27</v>
      </c>
      <c r="E10" s="67"/>
      <c r="F10" s="15"/>
      <c r="G10" s="15"/>
      <c r="H10" s="15"/>
      <c r="I10" s="15"/>
      <c r="J10" s="15"/>
      <c r="K10" s="7"/>
      <c r="L10" s="7"/>
      <c r="M10" s="7"/>
      <c r="N10" s="7"/>
      <c r="O10" s="7"/>
    </row>
    <row r="11" spans="1:15" ht="24" customHeight="1">
      <c r="A11" s="7"/>
      <c r="B11" s="22"/>
      <c r="C11" s="22"/>
      <c r="D11" s="22"/>
      <c r="E11" s="22"/>
      <c r="G11" s="17"/>
      <c r="H11" s="17"/>
      <c r="J11" s="7"/>
      <c r="K11" s="7"/>
      <c r="L11" s="7"/>
      <c r="M11" s="7"/>
      <c r="N11" s="7"/>
      <c r="O11" s="7"/>
    </row>
    <row r="12" spans="1:15" ht="23.5" thickBot="1">
      <c r="A12" s="23" t="s">
        <v>48</v>
      </c>
      <c r="B12" s="23"/>
      <c r="C12" s="23"/>
      <c r="D12" s="23"/>
      <c r="E12" s="23"/>
      <c r="F12" s="23"/>
      <c r="G12" s="23"/>
      <c r="H12" s="23"/>
      <c r="I12" s="23"/>
      <c r="J12" s="23"/>
      <c r="K12" s="23"/>
      <c r="L12" s="23"/>
      <c r="M12" s="23"/>
      <c r="N12" s="23"/>
      <c r="O12" s="23"/>
    </row>
    <row r="13" spans="1:15" ht="6.75" customHeight="1">
      <c r="A13" s="4"/>
      <c r="B13" s="5"/>
      <c r="C13" s="5"/>
      <c r="D13" s="5"/>
      <c r="E13" s="5"/>
      <c r="F13" s="5"/>
      <c r="G13" s="5"/>
      <c r="H13" s="5"/>
      <c r="I13" s="5"/>
      <c r="J13" s="5"/>
      <c r="K13" s="5"/>
      <c r="L13" s="5"/>
      <c r="M13" s="5"/>
      <c r="N13" s="5"/>
      <c r="O13" s="5"/>
    </row>
    <row r="14" spans="1:15" ht="21" customHeight="1">
      <c r="A14" s="126" t="s">
        <v>299</v>
      </c>
      <c r="B14" s="5"/>
      <c r="C14" s="5"/>
      <c r="D14" s="5"/>
      <c r="E14" s="5"/>
      <c r="F14" s="5"/>
      <c r="G14" s="5"/>
      <c r="H14" s="5"/>
      <c r="I14" s="5"/>
      <c r="J14" s="5"/>
      <c r="K14" s="5"/>
      <c r="L14" s="5"/>
      <c r="M14" s="5"/>
      <c r="N14" s="5"/>
      <c r="O14" s="5"/>
    </row>
    <row r="15" spans="1:15" ht="21" customHeight="1">
      <c r="A15" s="126"/>
      <c r="B15" s="5"/>
      <c r="C15" s="5"/>
      <c r="D15" s="5"/>
      <c r="E15" s="5"/>
      <c r="F15" s="5"/>
      <c r="G15" s="5"/>
      <c r="H15" s="5"/>
      <c r="I15" s="5"/>
      <c r="J15" s="5"/>
      <c r="K15" s="5"/>
      <c r="L15" s="5"/>
      <c r="M15" s="5"/>
      <c r="N15" s="5"/>
      <c r="O15" s="5"/>
    </row>
    <row r="16" spans="1:15" ht="33.65" customHeight="1">
      <c r="A16" s="38" t="s">
        <v>334</v>
      </c>
      <c r="E16" s="1211"/>
      <c r="F16" s="1211"/>
      <c r="G16" s="41" t="str">
        <f>IF(OR(E16=""),"",'Air Flow References'!C4)</f>
        <v/>
      </c>
      <c r="J16" s="123"/>
      <c r="L16" s="39" t="s">
        <v>335</v>
      </c>
      <c r="M16" s="1403"/>
      <c r="N16" s="1403"/>
      <c r="O16" s="41" t="str">
        <f>IF(OR(M16=""),"",'Air Flow References'!C6)</f>
        <v/>
      </c>
    </row>
    <row r="17" spans="1:15" ht="33.65" customHeight="1"/>
    <row r="18" spans="1:15" ht="33.65" customHeight="1">
      <c r="A18" s="125" t="s">
        <v>338</v>
      </c>
    </row>
    <row r="19" spans="1:15" ht="33.65" customHeight="1">
      <c r="A19" s="1354" t="s">
        <v>336</v>
      </c>
      <c r="B19" s="1354"/>
      <c r="C19" s="1354"/>
      <c r="D19" s="1354"/>
      <c r="E19" s="1404"/>
      <c r="F19" s="1404"/>
      <c r="G19" s="1405" t="str">
        <f>IF(OR(E19=""),"",'Air Flow References'!C5)</f>
        <v/>
      </c>
      <c r="H19" s="1405"/>
      <c r="I19" s="134" t="s">
        <v>296</v>
      </c>
      <c r="L19" s="39" t="s">
        <v>337</v>
      </c>
      <c r="M19" s="1211"/>
      <c r="N19" s="1211"/>
      <c r="O19" s="41" t="str">
        <f>IF(OR(M19=""),"",'Air Flow References'!C7)</f>
        <v/>
      </c>
    </row>
    <row r="20" spans="1:15" ht="33.65" customHeight="1">
      <c r="A20" s="291"/>
      <c r="B20" s="291"/>
      <c r="C20" s="291"/>
      <c r="D20" s="291"/>
      <c r="E20" s="193"/>
      <c r="F20" s="193"/>
      <c r="G20" s="133"/>
      <c r="H20" s="133"/>
      <c r="I20" s="134"/>
      <c r="L20" s="39"/>
      <c r="M20" s="293"/>
      <c r="N20" s="293"/>
      <c r="O20" s="41"/>
    </row>
    <row r="21" spans="1:15" ht="33.65" customHeight="1">
      <c r="A21" s="1124" t="s">
        <v>340</v>
      </c>
      <c r="B21" s="1124"/>
      <c r="C21" s="1124"/>
      <c r="D21" s="291"/>
      <c r="E21" s="193"/>
      <c r="F21" s="193"/>
      <c r="G21" s="133"/>
      <c r="H21" s="133"/>
      <c r="I21" s="134"/>
      <c r="L21" s="39"/>
      <c r="M21" s="293"/>
      <c r="N21" s="293"/>
      <c r="O21" s="41"/>
    </row>
    <row r="22" spans="1:15" ht="33.65" customHeight="1"/>
    <row r="23" spans="1:15" s="139" customFormat="1" ht="33.65" customHeight="1">
      <c r="A23" s="139" t="s">
        <v>341</v>
      </c>
      <c r="B23" s="294"/>
      <c r="E23" s="1404"/>
      <c r="F23" s="1404"/>
      <c r="G23" s="139" t="str">
        <f>IF(OR(E23=""),"",'Air Flow References'!C9)</f>
        <v/>
      </c>
      <c r="H23" s="138"/>
      <c r="I23" s="138"/>
      <c r="J23" s="138"/>
      <c r="K23" s="138"/>
    </row>
    <row r="24" spans="1:15" ht="33.65" customHeight="1">
      <c r="A24" s="137" t="s">
        <v>339</v>
      </c>
    </row>
    <row r="25" spans="1:15" ht="33.65" customHeight="1"/>
    <row r="26" spans="1:15" ht="33.65" customHeight="1">
      <c r="A26" s="38" t="s">
        <v>342</v>
      </c>
      <c r="E26" s="1403"/>
      <c r="F26" s="1403"/>
      <c r="G26" s="41" t="str">
        <f>IF(OR(E26=""),"",'Air Flow References'!C8)</f>
        <v/>
      </c>
    </row>
    <row r="27" spans="1:15">
      <c r="A27" s="125" t="s">
        <v>343</v>
      </c>
      <c r="F27" s="40"/>
    </row>
    <row r="28" spans="1:15"/>
    <row r="29" spans="1:15"/>
    <row r="30" spans="1:15">
      <c r="A30" s="1354" t="s">
        <v>44</v>
      </c>
      <c r="B30" s="1354"/>
      <c r="C30" s="1354"/>
      <c r="D30" s="1354"/>
      <c r="E30" s="1354"/>
      <c r="F30" s="1354"/>
      <c r="G30" s="1354"/>
      <c r="H30" s="1354"/>
      <c r="I30" s="1354"/>
      <c r="J30" s="1354"/>
      <c r="K30" s="1354"/>
      <c r="L30" s="1354"/>
      <c r="M30" s="1354"/>
    </row>
    <row r="31" spans="1:15" ht="33.65" customHeight="1">
      <c r="A31" s="38" t="s">
        <v>45</v>
      </c>
      <c r="C31" s="1409"/>
      <c r="D31" s="1409"/>
      <c r="E31" s="1409"/>
      <c r="F31" s="1409"/>
      <c r="G31" s="1409"/>
      <c r="H31" s="1409"/>
      <c r="I31" s="1409"/>
      <c r="J31" s="1409"/>
      <c r="K31" s="1409"/>
      <c r="L31" s="1409"/>
      <c r="M31" s="133"/>
    </row>
    <row r="32" spans="1:15"/>
    <row r="33" spans="1:15">
      <c r="A33" s="41" t="s">
        <v>47</v>
      </c>
    </row>
    <row r="34" spans="1:15">
      <c r="A34" s="38" t="s">
        <v>1514</v>
      </c>
    </row>
    <row r="35" spans="1:15">
      <c r="A35" s="38" t="s">
        <v>46</v>
      </c>
    </row>
    <row r="36" spans="1:15"/>
    <row r="37" spans="1:15"/>
    <row r="38" spans="1:15" ht="23.5" thickBot="1">
      <c r="A38" s="23" t="s">
        <v>178</v>
      </c>
      <c r="B38" s="23"/>
      <c r="C38" s="23"/>
      <c r="D38" s="23"/>
      <c r="E38" s="23"/>
      <c r="F38" s="23"/>
      <c r="G38" s="23"/>
      <c r="H38" s="23"/>
      <c r="I38" s="23"/>
      <c r="J38" s="23"/>
      <c r="K38" s="23"/>
      <c r="L38" s="23"/>
      <c r="M38" s="23"/>
      <c r="N38" s="23"/>
      <c r="O38" s="23"/>
    </row>
    <row r="39" spans="1:15" ht="23">
      <c r="A39" s="4"/>
      <c r="B39" s="4"/>
      <c r="C39" s="4"/>
      <c r="D39" s="4"/>
      <c r="E39" s="4"/>
      <c r="F39" s="4"/>
      <c r="G39" s="4"/>
      <c r="H39" s="4"/>
      <c r="I39" s="4"/>
      <c r="J39" s="4"/>
      <c r="K39" s="4"/>
      <c r="L39" s="4"/>
      <c r="M39" s="4"/>
      <c r="N39" s="4"/>
      <c r="O39" s="4"/>
    </row>
    <row r="40" spans="1:15" ht="23">
      <c r="A40" s="3" t="s">
        <v>73</v>
      </c>
      <c r="B40" s="4"/>
      <c r="C40" s="4"/>
      <c r="D40" s="4"/>
      <c r="E40" s="4"/>
      <c r="F40" s="4"/>
      <c r="G40" s="4"/>
      <c r="H40" s="4"/>
      <c r="I40" s="1407"/>
      <c r="J40" s="1407"/>
      <c r="K40" s="4"/>
      <c r="L40" s="4"/>
      <c r="M40" s="4"/>
    </row>
    <row r="41" spans="1:15" ht="23">
      <c r="A41" s="4"/>
      <c r="B41" s="4"/>
      <c r="C41" s="4"/>
      <c r="D41" s="4"/>
      <c r="E41" s="4"/>
      <c r="F41" s="4"/>
      <c r="G41" s="4"/>
      <c r="H41" s="4"/>
      <c r="I41" s="4"/>
      <c r="J41" s="4"/>
      <c r="K41" s="4"/>
      <c r="L41" s="4"/>
      <c r="M41" s="4"/>
      <c r="N41" s="4"/>
      <c r="O41" s="4"/>
    </row>
    <row r="42" spans="1:15">
      <c r="A42" s="42" t="s">
        <v>576</v>
      </c>
      <c r="B42" s="42"/>
      <c r="C42" s="42"/>
      <c r="D42" s="42"/>
      <c r="E42" s="42"/>
      <c r="F42" s="42"/>
      <c r="G42" s="42"/>
      <c r="H42" s="42"/>
      <c r="I42" s="42"/>
      <c r="J42" s="42"/>
      <c r="K42" s="42"/>
      <c r="L42" s="42"/>
      <c r="M42" s="42"/>
      <c r="N42" s="42"/>
      <c r="O42" s="42"/>
    </row>
    <row r="43" spans="1:15">
      <c r="A43" s="43"/>
      <c r="B43" s="44"/>
      <c r="C43" s="44"/>
      <c r="D43" s="44"/>
      <c r="E43" s="44"/>
      <c r="F43" s="44"/>
      <c r="G43" s="44"/>
      <c r="H43" s="44"/>
      <c r="I43" s="44"/>
      <c r="J43" s="44"/>
      <c r="K43" s="44"/>
      <c r="L43" s="44"/>
      <c r="M43" s="44"/>
      <c r="N43" s="44"/>
      <c r="O43" s="44"/>
    </row>
    <row r="44" spans="1:15">
      <c r="A44" s="48" t="s">
        <v>71</v>
      </c>
    </row>
    <row r="45" spans="1:15">
      <c r="A45" s="45" t="s">
        <v>72</v>
      </c>
    </row>
    <row r="46" spans="1:15">
      <c r="A46" s="45"/>
    </row>
    <row r="47" spans="1:15">
      <c r="A47" s="45"/>
      <c r="E47" s="1406"/>
      <c r="F47" s="1406"/>
    </row>
    <row r="48" spans="1:15">
      <c r="A48" s="45"/>
    </row>
    <row r="49" spans="1:11">
      <c r="A49" s="45"/>
    </row>
    <row r="50" spans="1:11">
      <c r="A50" s="45"/>
      <c r="B50" s="38" t="s">
        <v>86</v>
      </c>
      <c r="E50" s="90"/>
      <c r="F50" s="38" t="s">
        <v>77</v>
      </c>
      <c r="G50" s="41" t="str">
        <f>IF(OR(E50=""),"",'Air Flow References'!C16)</f>
        <v/>
      </c>
    </row>
    <row r="51" spans="1:11">
      <c r="A51" s="45"/>
    </row>
    <row r="52" spans="1:11">
      <c r="A52" s="45"/>
      <c r="B52" s="38" t="s">
        <v>87</v>
      </c>
      <c r="E52" s="90"/>
      <c r="F52" s="50" t="s">
        <v>77</v>
      </c>
      <c r="G52" s="41" t="str">
        <f>IF(OR(E52=""),"",'Air Flow References'!C17)</f>
        <v/>
      </c>
    </row>
    <row r="53" spans="1:11">
      <c r="A53" s="45"/>
    </row>
    <row r="54" spans="1:11">
      <c r="A54" s="48" t="s">
        <v>78</v>
      </c>
      <c r="K54" s="46"/>
    </row>
    <row r="55" spans="1:11">
      <c r="A55" s="48"/>
    </row>
    <row r="56" spans="1:11">
      <c r="A56" s="45" t="s">
        <v>88</v>
      </c>
      <c r="E56" s="90"/>
      <c r="F56" s="38" t="s">
        <v>82</v>
      </c>
      <c r="G56" s="41" t="str">
        <f>IF(OR(E56=""),"",'Air Flow References'!C18)</f>
        <v/>
      </c>
    </row>
    <row r="57" spans="1:11">
      <c r="A57" s="45"/>
    </row>
    <row r="58" spans="1:11">
      <c r="A58" s="45" t="s">
        <v>89</v>
      </c>
      <c r="E58" s="90"/>
      <c r="F58" s="38" t="s">
        <v>77</v>
      </c>
      <c r="G58" s="41" t="str">
        <f>IF(OR(E58=""),"",'Air Flow References'!C19)</f>
        <v/>
      </c>
    </row>
    <row r="59" spans="1:11">
      <c r="A59" s="45"/>
    </row>
    <row r="60" spans="1:11">
      <c r="A60" s="45" t="s">
        <v>90</v>
      </c>
      <c r="E60" s="90"/>
      <c r="F60" s="38" t="s">
        <v>77</v>
      </c>
      <c r="G60" s="41" t="str">
        <f>IF(OR(E60=""),"",'Air Flow References'!C20)</f>
        <v/>
      </c>
    </row>
    <row r="61" spans="1:11">
      <c r="A61" s="45"/>
    </row>
    <row r="62" spans="1:11">
      <c r="A62" s="45" t="s">
        <v>91</v>
      </c>
      <c r="E62" s="194" t="str">
        <f>IF(OR(E58="",E60=""),"",E58-E60)</f>
        <v/>
      </c>
      <c r="F62" s="38" t="s">
        <v>77</v>
      </c>
      <c r="G62" s="41" t="str">
        <f>'Air Flow References'!C21</f>
        <v/>
      </c>
    </row>
    <row r="63" spans="1:11">
      <c r="A63" s="45"/>
    </row>
    <row r="64" spans="1:11">
      <c r="A64" s="51" t="s">
        <v>92</v>
      </c>
    </row>
    <row r="65" spans="1:15">
      <c r="A65" s="45"/>
    </row>
    <row r="66" spans="1:15">
      <c r="A66" s="52" t="s">
        <v>93</v>
      </c>
      <c r="B66" s="53"/>
      <c r="C66" s="53"/>
      <c r="D66" s="53"/>
      <c r="E66" s="53"/>
      <c r="F66" s="53"/>
      <c r="G66" s="53"/>
      <c r="H66" s="53"/>
      <c r="I66" s="53"/>
      <c r="J66" s="53"/>
      <c r="K66" s="53"/>
      <c r="L66" s="53"/>
      <c r="M66" s="53"/>
      <c r="N66" s="53"/>
    </row>
    <row r="67" spans="1:15">
      <c r="A67" s="42" t="s">
        <v>199</v>
      </c>
      <c r="B67" s="42"/>
      <c r="C67" s="42"/>
      <c r="D67" s="42"/>
      <c r="E67" s="42"/>
      <c r="F67" s="42"/>
      <c r="G67" s="42"/>
      <c r="H67" s="42"/>
      <c r="I67" s="42"/>
      <c r="J67" s="42"/>
      <c r="K67" s="42"/>
      <c r="L67" s="42"/>
      <c r="M67" s="42"/>
      <c r="N67" s="42"/>
      <c r="O67" s="42"/>
    </row>
    <row r="68" spans="1:15">
      <c r="A68" s="43"/>
      <c r="B68" s="44"/>
      <c r="C68" s="44"/>
      <c r="D68" s="44"/>
      <c r="E68" s="44"/>
      <c r="F68" s="44"/>
      <c r="G68" s="44"/>
      <c r="H68" s="44"/>
      <c r="I68" s="44"/>
      <c r="J68" s="44"/>
      <c r="K68" s="44"/>
      <c r="L68" s="44"/>
      <c r="M68" s="44"/>
      <c r="N68" s="44"/>
    </row>
    <row r="69" spans="1:15">
      <c r="A69" s="48" t="s">
        <v>71</v>
      </c>
    </row>
    <row r="70" spans="1:15">
      <c r="A70" s="45" t="s">
        <v>72</v>
      </c>
    </row>
    <row r="71" spans="1:15">
      <c r="A71" s="45"/>
    </row>
    <row r="72" spans="1:15">
      <c r="A72" s="45"/>
      <c r="E72" s="1406"/>
      <c r="F72" s="1406"/>
    </row>
    <row r="73" spans="1:15">
      <c r="A73" s="45"/>
    </row>
    <row r="74" spans="1:15">
      <c r="A74" s="45"/>
    </row>
    <row r="75" spans="1:15">
      <c r="A75" s="45"/>
      <c r="B75" s="38" t="s">
        <v>74</v>
      </c>
      <c r="E75" s="90"/>
      <c r="F75" s="38" t="s">
        <v>298</v>
      </c>
      <c r="G75" s="41" t="str">
        <f>IF(OR(E75=""),"",'Air Flow References'!C28)</f>
        <v/>
      </c>
    </row>
    <row r="76" spans="1:15">
      <c r="A76" s="45"/>
      <c r="B76" s="38" t="s">
        <v>297</v>
      </c>
      <c r="E76" s="293"/>
      <c r="G76" s="49"/>
    </row>
    <row r="77" spans="1:15">
      <c r="A77" s="45"/>
    </row>
    <row r="78" spans="1:15">
      <c r="A78" s="45"/>
      <c r="B78" s="38" t="s">
        <v>75</v>
      </c>
      <c r="E78" s="90"/>
      <c r="F78" s="38" t="s">
        <v>77</v>
      </c>
      <c r="G78" s="41" t="str">
        <f>IF(OR(E78=""),"",'Air Flow References'!C29)</f>
        <v/>
      </c>
    </row>
    <row r="79" spans="1:15">
      <c r="A79" s="45"/>
      <c r="G79" s="41"/>
    </row>
    <row r="80" spans="1:15">
      <c r="A80" s="45"/>
      <c r="B80" s="38" t="s">
        <v>76</v>
      </c>
      <c r="E80" s="90"/>
      <c r="F80" s="50" t="s">
        <v>77</v>
      </c>
      <c r="G80" s="41" t="str">
        <f>IF(OR(E80=""),"",'Air Flow References'!C30)</f>
        <v/>
      </c>
    </row>
    <row r="81" spans="1:15">
      <c r="A81" s="45"/>
    </row>
    <row r="82" spans="1:15">
      <c r="A82" s="45"/>
    </row>
    <row r="83" spans="1:15">
      <c r="A83" s="48" t="s">
        <v>78</v>
      </c>
    </row>
    <row r="84" spans="1:15">
      <c r="A84" s="45"/>
    </row>
    <row r="85" spans="1:15">
      <c r="A85" s="45" t="s">
        <v>79</v>
      </c>
      <c r="E85" s="90"/>
      <c r="F85" s="38" t="s">
        <v>82</v>
      </c>
      <c r="G85" s="41" t="str">
        <f>IF(OR(E85=""),"",'Air Flow References'!C31)</f>
        <v/>
      </c>
    </row>
    <row r="86" spans="1:15">
      <c r="A86" s="45"/>
    </row>
    <row r="87" spans="1:15">
      <c r="A87" s="45" t="s">
        <v>80</v>
      </c>
      <c r="E87" s="90"/>
      <c r="F87" s="50" t="s">
        <v>77</v>
      </c>
      <c r="G87" s="41" t="str">
        <f>IF(OR(E87=""),"",'Air Flow References'!C32)</f>
        <v/>
      </c>
    </row>
    <row r="88" spans="1:15">
      <c r="A88" s="45"/>
    </row>
    <row r="89" spans="1:15">
      <c r="A89" s="45" t="s">
        <v>81</v>
      </c>
      <c r="E89" s="90"/>
      <c r="F89" s="50" t="s">
        <v>77</v>
      </c>
      <c r="G89" s="41" t="str">
        <f>IF(OR(E89=""),"",'Air Flow References'!C33)</f>
        <v/>
      </c>
    </row>
    <row r="90" spans="1:15">
      <c r="A90" s="45"/>
      <c r="G90" s="38" t="s">
        <v>346</v>
      </c>
    </row>
    <row r="91" spans="1:15">
      <c r="A91" s="45" t="s">
        <v>83</v>
      </c>
      <c r="E91" s="194" t="str">
        <f>IF(OR(E87="",E89=""),"",E89-E87)</f>
        <v/>
      </c>
      <c r="F91" s="50" t="s">
        <v>77</v>
      </c>
      <c r="G91" s="41" t="str">
        <f>'Air Flow References'!C34</f>
        <v/>
      </c>
    </row>
    <row r="92" spans="1:15">
      <c r="A92" s="45"/>
    </row>
    <row r="93" spans="1:15">
      <c r="A93" s="51" t="s">
        <v>84</v>
      </c>
    </row>
    <row r="94" spans="1:15">
      <c r="A94" s="45"/>
    </row>
    <row r="95" spans="1:15">
      <c r="A95" s="41" t="s">
        <v>85</v>
      </c>
    </row>
    <row r="96" spans="1:15">
      <c r="A96" s="299" t="s">
        <v>575</v>
      </c>
      <c r="B96" s="299"/>
      <c r="C96" s="299"/>
      <c r="D96" s="299"/>
      <c r="E96" s="299"/>
      <c r="F96" s="299"/>
      <c r="G96" s="299"/>
      <c r="H96" s="299"/>
      <c r="I96" s="299"/>
      <c r="J96" s="299"/>
      <c r="K96" s="299"/>
      <c r="L96" s="299"/>
      <c r="M96" s="299"/>
      <c r="N96" s="299"/>
      <c r="O96" s="299"/>
    </row>
    <row r="97" spans="1:14">
      <c r="A97" s="43"/>
      <c r="B97" s="44"/>
      <c r="C97" s="44"/>
      <c r="D97" s="44"/>
      <c r="E97" s="44"/>
      <c r="F97" s="44"/>
      <c r="G97" s="44"/>
      <c r="H97" s="44"/>
      <c r="I97" s="44"/>
      <c r="J97" s="44"/>
      <c r="K97" s="44"/>
      <c r="L97" s="44"/>
      <c r="M97" s="44"/>
      <c r="N97" s="44"/>
    </row>
    <row r="98" spans="1:14">
      <c r="A98" s="45" t="s">
        <v>49</v>
      </c>
    </row>
    <row r="99" spans="1:14">
      <c r="A99" s="45"/>
    </row>
    <row r="100" spans="1:14">
      <c r="A100" s="45"/>
      <c r="E100" s="1211"/>
      <c r="F100" s="1211"/>
      <c r="G100" s="38" t="s">
        <v>50</v>
      </c>
    </row>
    <row r="101" spans="1:14" ht="15.65" customHeight="1">
      <c r="A101" s="1397" t="s">
        <v>1432</v>
      </c>
      <c r="B101" s="1124"/>
    </row>
    <row r="102" spans="1:14" ht="15.65" customHeight="1">
      <c r="A102" s="1397"/>
      <c r="B102" s="1124"/>
      <c r="C102" s="463"/>
      <c r="D102" s="38" t="s">
        <v>1515</v>
      </c>
      <c r="E102" s="463"/>
      <c r="F102" s="38" t="s">
        <v>1516</v>
      </c>
    </row>
    <row r="103" spans="1:14">
      <c r="A103" s="45"/>
    </row>
    <row r="104" spans="1:14">
      <c r="A104" s="45"/>
    </row>
    <row r="105" spans="1:14">
      <c r="A105" s="45" t="s">
        <v>58</v>
      </c>
      <c r="E105" s="295"/>
    </row>
    <row r="106" spans="1:14">
      <c r="A106" s="45"/>
    </row>
    <row r="107" spans="1:14">
      <c r="A107" s="45"/>
    </row>
    <row r="108" spans="1:14">
      <c r="A108" s="45" t="s">
        <v>59</v>
      </c>
      <c r="E108" s="295"/>
    </row>
    <row r="109" spans="1:14">
      <c r="A109" s="45"/>
    </row>
    <row r="110" spans="1:14">
      <c r="A110" s="45"/>
    </row>
    <row r="111" spans="1:14">
      <c r="A111" s="45" t="s">
        <v>1433</v>
      </c>
      <c r="C111" s="295"/>
      <c r="D111" s="38" t="s">
        <v>60</v>
      </c>
    </row>
    <row r="112" spans="1:14">
      <c r="A112" s="45"/>
    </row>
    <row r="113" spans="1:15">
      <c r="A113" s="45" t="s">
        <v>61</v>
      </c>
      <c r="D113" s="504"/>
      <c r="E113" s="38" t="s">
        <v>62</v>
      </c>
      <c r="F113" s="38" t="s">
        <v>63</v>
      </c>
      <c r="G113" s="460"/>
      <c r="H113" s="38" t="s">
        <v>60</v>
      </c>
      <c r="I113" s="38" t="s">
        <v>64</v>
      </c>
      <c r="J113" s="434"/>
      <c r="K113" s="38" t="s">
        <v>65</v>
      </c>
      <c r="L113" s="46" t="s">
        <v>66</v>
      </c>
      <c r="M113" s="460"/>
      <c r="N113" s="38" t="s">
        <v>67</v>
      </c>
    </row>
    <row r="114" spans="1:15">
      <c r="A114" s="45"/>
      <c r="L114" s="46"/>
    </row>
    <row r="115" spans="1:15">
      <c r="A115" s="45" t="s">
        <v>142</v>
      </c>
      <c r="D115" s="504"/>
      <c r="E115" s="38" t="s">
        <v>62</v>
      </c>
      <c r="F115" s="38" t="s">
        <v>63</v>
      </c>
      <c r="G115" s="460"/>
      <c r="H115" s="38" t="s">
        <v>60</v>
      </c>
      <c r="I115" s="38" t="s">
        <v>64</v>
      </c>
      <c r="J115" s="434"/>
      <c r="K115" s="38" t="s">
        <v>65</v>
      </c>
      <c r="L115" s="46" t="s">
        <v>66</v>
      </c>
      <c r="M115" s="460"/>
      <c r="N115" s="38" t="s">
        <v>67</v>
      </c>
    </row>
    <row r="116" spans="1:15">
      <c r="A116" s="45"/>
    </row>
    <row r="117" spans="1:15">
      <c r="A117" s="47" t="s">
        <v>190</v>
      </c>
      <c r="M117" s="460"/>
      <c r="N117" s="38" t="s">
        <v>67</v>
      </c>
    </row>
    <row r="118" spans="1:15">
      <c r="A118" s="45"/>
    </row>
    <row r="119" spans="1:15">
      <c r="A119" s="1401" t="s">
        <v>68</v>
      </c>
      <c r="B119" s="1399"/>
      <c r="C119" s="1399"/>
      <c r="D119" s="1399"/>
      <c r="E119" s="1402"/>
      <c r="F119" s="1398" t="s">
        <v>69</v>
      </c>
      <c r="G119" s="1398"/>
      <c r="H119" s="1398"/>
      <c r="I119" s="1398"/>
      <c r="J119" s="1398"/>
      <c r="K119" s="1398"/>
      <c r="L119" s="139"/>
      <c r="M119" s="1399" t="str">
        <f>IF(AND(M113="",M115="",M117=""),"",M113+M115+M117)</f>
        <v/>
      </c>
      <c r="N119" s="1399" t="s">
        <v>67</v>
      </c>
    </row>
    <row r="120" spans="1:15">
      <c r="A120" s="1401"/>
      <c r="B120" s="1399"/>
      <c r="C120" s="1399"/>
      <c r="D120" s="1399"/>
      <c r="E120" s="1402"/>
      <c r="F120" s="1398"/>
      <c r="G120" s="1398"/>
      <c r="H120" s="1398"/>
      <c r="I120" s="1398"/>
      <c r="J120" s="1398"/>
      <c r="K120" s="1398"/>
      <c r="L120" s="139"/>
      <c r="M120" s="1400"/>
      <c r="N120" s="1399"/>
    </row>
    <row r="121" spans="1:15">
      <c r="A121" s="45"/>
    </row>
    <row r="122" spans="1:15">
      <c r="A122" s="41" t="s">
        <v>70</v>
      </c>
    </row>
    <row r="123" spans="1:15"/>
    <row r="124" spans="1:15"/>
    <row r="125" spans="1:15"/>
    <row r="126" spans="1:15"/>
    <row r="127" spans="1:15" ht="12.65" customHeight="1">
      <c r="A127" s="74" t="s">
        <v>165</v>
      </c>
      <c r="B127" s="77"/>
      <c r="C127" s="466" t="str">
        <f>Development!$A$2</f>
        <v>1.0</v>
      </c>
      <c r="D127" s="1041"/>
      <c r="E127" s="1041"/>
      <c r="F127" s="1041"/>
      <c r="G127" s="1042"/>
      <c r="H127" s="1042"/>
      <c r="I127" s="1042"/>
      <c r="J127" s="44"/>
      <c r="K127" s="44"/>
      <c r="L127" s="44"/>
      <c r="M127" s="44"/>
      <c r="N127" s="78" t="s">
        <v>167</v>
      </c>
      <c r="O127" s="79" t="str">
        <f>Development!$A$4</f>
        <v>01.01.2025</v>
      </c>
    </row>
    <row r="128" spans="1:15"/>
    <row r="129"/>
    <row r="130"/>
    <row r="131"/>
    <row r="132"/>
    <row r="133"/>
    <row r="134"/>
    <row r="135"/>
    <row r="136"/>
    <row r="137"/>
    <row r="138"/>
    <row r="139"/>
    <row r="140"/>
    <row r="141"/>
    <row r="142"/>
    <row r="143"/>
    <row r="144"/>
    <row r="145" spans="15:15"/>
    <row r="146" spans="15:15"/>
    <row r="147" spans="15:15">
      <c r="O147" s="54"/>
    </row>
    <row r="159" spans="15:15"/>
    <row r="160" spans="15:15"/>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sheetData>
  <sheetProtection algorithmName="SHA-512" hashValue="P8NUmHf1vs32NX89CpW0exl9vWqpwNxL8KK0bR/C7M5CW5zQm1DGcE0MiHuwSoWsAeTOU85P008UpBlvNCaBiw==" saltValue="G497UU1ZYhbXuY+MXIC6iA==" spinCount="100000" sheet="1" objects="1" scenarios="1"/>
  <mergeCells count="27">
    <mergeCell ref="M16:N16"/>
    <mergeCell ref="H6:I6"/>
    <mergeCell ref="H8:I8"/>
    <mergeCell ref="C31:L31"/>
    <mergeCell ref="A1:J1"/>
    <mergeCell ref="E16:F16"/>
    <mergeCell ref="A30:M30"/>
    <mergeCell ref="A19:D19"/>
    <mergeCell ref="M19:N19"/>
    <mergeCell ref="A2:J2"/>
    <mergeCell ref="A21:C21"/>
    <mergeCell ref="E23:F23"/>
    <mergeCell ref="A3:J3"/>
    <mergeCell ref="N119:N120"/>
    <mergeCell ref="E26:F26"/>
    <mergeCell ref="E19:F19"/>
    <mergeCell ref="E100:F100"/>
    <mergeCell ref="G19:H19"/>
    <mergeCell ref="E47:F47"/>
    <mergeCell ref="I40:J40"/>
    <mergeCell ref="E72:F72"/>
    <mergeCell ref="A101:B102"/>
    <mergeCell ref="D127:F127"/>
    <mergeCell ref="G127:I127"/>
    <mergeCell ref="F119:K120"/>
    <mergeCell ref="M119:M120"/>
    <mergeCell ref="A119:E120"/>
  </mergeCells>
  <conditionalFormatting sqref="A1:J1">
    <cfRule type="cellIs" dxfId="18" priority="20" stopIfTrue="1" operator="equal">
      <formula>"Missing Info"</formula>
    </cfRule>
  </conditionalFormatting>
  <conditionalFormatting sqref="C6">
    <cfRule type="cellIs" dxfId="17" priority="21" stopIfTrue="1" operator="equal">
      <formula>"Missing Info"</formula>
    </cfRule>
  </conditionalFormatting>
  <conditionalFormatting sqref="C6:J8">
    <cfRule type="cellIs" dxfId="16" priority="6" stopIfTrue="1" operator="equal">
      <formula>"Pass"</formula>
    </cfRule>
  </conditionalFormatting>
  <conditionalFormatting sqref="G16">
    <cfRule type="cellIs" dxfId="15" priority="16" stopIfTrue="1" operator="equal">
      <formula>"Missing Info"</formula>
    </cfRule>
  </conditionalFormatting>
  <conditionalFormatting sqref="G26">
    <cfRule type="cellIs" dxfId="14" priority="12" stopIfTrue="1" operator="equal">
      <formula>"Missing Info"</formula>
    </cfRule>
  </conditionalFormatting>
  <conditionalFormatting sqref="G50:G60">
    <cfRule type="cellIs" dxfId="13" priority="2" stopIfTrue="1" operator="equal">
      <formula>"Pass"</formula>
    </cfRule>
    <cfRule type="cellIs" dxfId="12" priority="8" stopIfTrue="1" operator="equal">
      <formula>"Missing Info"</formula>
    </cfRule>
  </conditionalFormatting>
  <conditionalFormatting sqref="G75:G89">
    <cfRule type="cellIs" dxfId="11" priority="1" stopIfTrue="1" operator="equal">
      <formula>"Pass"</formula>
    </cfRule>
    <cfRule type="cellIs" dxfId="10" priority="7" stopIfTrue="1" operator="equal">
      <formula>"Missing Info"</formula>
    </cfRule>
  </conditionalFormatting>
  <conditionalFormatting sqref="G16:H22 G23 G24:H29">
    <cfRule type="cellIs" dxfId="9" priority="5" stopIfTrue="1" operator="equal">
      <formula>"Pass"</formula>
    </cfRule>
  </conditionalFormatting>
  <conditionalFormatting sqref="G19:H21">
    <cfRule type="cellIs" dxfId="8" priority="14" stopIfTrue="1" operator="equal">
      <formula>"Missing Info"</formula>
    </cfRule>
  </conditionalFormatting>
  <conditionalFormatting sqref="J6">
    <cfRule type="cellIs" dxfId="7" priority="19" stopIfTrue="1" operator="equal">
      <formula>"Missing Info"</formula>
    </cfRule>
  </conditionalFormatting>
  <conditionalFormatting sqref="J8">
    <cfRule type="cellIs" dxfId="6" priority="17" stopIfTrue="1" operator="equal">
      <formula>"Missing Info"</formula>
    </cfRule>
    <cfRule type="containsText" dxfId="5" priority="18" stopIfTrue="1" operator="containsText" text="Missing Info">
      <formula>NOT(ISERROR(SEARCH("Missing Info",J8)))</formula>
    </cfRule>
  </conditionalFormatting>
  <conditionalFormatting sqref="M31">
    <cfRule type="cellIs" dxfId="4" priority="3" stopIfTrue="1" operator="equal">
      <formula>"Pass"</formula>
    </cfRule>
    <cfRule type="cellIs" dxfId="3" priority="9" stopIfTrue="1" operator="equal">
      <formula>"Missing Info"</formula>
    </cfRule>
  </conditionalFormatting>
  <conditionalFormatting sqref="O16">
    <cfRule type="cellIs" dxfId="2" priority="15" stopIfTrue="1" operator="equal">
      <formula>"Missing Info"</formula>
    </cfRule>
  </conditionalFormatting>
  <conditionalFormatting sqref="O16:O21">
    <cfRule type="cellIs" dxfId="1" priority="4" stopIfTrue="1" operator="equal">
      <formula>"Pass"</formula>
    </cfRule>
  </conditionalFormatting>
  <conditionalFormatting sqref="O19:O21">
    <cfRule type="cellIs" dxfId="0" priority="13" stopIfTrue="1" operator="equal">
      <formula>"Missing Info"</formula>
    </cfRule>
  </conditionalFormatting>
  <pageMargins left="0.25" right="0.25" top="0.75" bottom="0.75" header="0.3" footer="0.3"/>
  <pageSetup scale="55" fitToHeight="4" orientation="portrait" r:id="rId1"/>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rowBreaks count="1" manualBreakCount="1">
    <brk id="95" max="14" man="1"/>
  </rowBreaks>
  <drawing r:id="rId2"/>
  <legacyDrawing r:id="rId3"/>
  <controls>
    <mc:AlternateContent xmlns:mc="http://schemas.openxmlformats.org/markup-compatibility/2006">
      <mc:Choice Requires="x14">
        <control shapeId="10955" r:id="rId4" name="CommandButton1">
          <controlPr defaultSize="0" autoLine="0" r:id="rId5">
            <anchor moveWithCells="1">
              <from>
                <xdr:col>11</xdr:col>
                <xdr:colOff>107950</xdr:colOff>
                <xdr:row>122</xdr:row>
                <xdr:rowOff>133350</xdr:rowOff>
              </from>
              <to>
                <xdr:col>14</xdr:col>
                <xdr:colOff>488950</xdr:colOff>
                <xdr:row>125</xdr:row>
                <xdr:rowOff>107950</xdr:rowOff>
              </to>
            </anchor>
          </controlPr>
        </control>
      </mc:Choice>
      <mc:Fallback>
        <control shapeId="10955" r:id="rId4" name="CommandButton1"/>
      </mc:Fallback>
    </mc:AlternateContent>
    <mc:AlternateContent xmlns:mc="http://schemas.openxmlformats.org/markup-compatibility/2006">
      <mc:Choice Requires="x14">
        <control shapeId="10243" r:id="rId6" name="Group Box 3">
          <controlPr defaultSize="0" autoFill="0" autoPict="0">
            <anchor moveWithCells="1">
              <from>
                <xdr:col>0</xdr:col>
                <xdr:colOff>12700</xdr:colOff>
                <xdr:row>28</xdr:row>
                <xdr:rowOff>69850</xdr:rowOff>
              </from>
              <to>
                <xdr:col>7</xdr:col>
                <xdr:colOff>152400</xdr:colOff>
                <xdr:row>31</xdr:row>
                <xdr:rowOff>0</xdr:rowOff>
              </to>
            </anchor>
          </controlPr>
        </control>
      </mc:Choice>
    </mc:AlternateContent>
    <mc:AlternateContent xmlns:mc="http://schemas.openxmlformats.org/markup-compatibility/2006">
      <mc:Choice Requires="x14">
        <control shapeId="10277" r:id="rId7" name="Option Button 37">
          <controlPr defaultSize="0" autoFill="0" autoLine="0" autoPict="0">
            <anchor moveWithCells="1">
              <from>
                <xdr:col>5</xdr:col>
                <xdr:colOff>584200</xdr:colOff>
                <xdr:row>66</xdr:row>
                <xdr:rowOff>0</xdr:rowOff>
              </from>
              <to>
                <xdr:col>6</xdr:col>
                <xdr:colOff>0</xdr:colOff>
                <xdr:row>67</xdr:row>
                <xdr:rowOff>0</xdr:rowOff>
              </to>
            </anchor>
          </controlPr>
        </control>
      </mc:Choice>
    </mc:AlternateContent>
    <mc:AlternateContent xmlns:mc="http://schemas.openxmlformats.org/markup-compatibility/2006">
      <mc:Choice Requires="x14">
        <control shapeId="10278" r:id="rId8" name="Group Box 38">
          <controlPr defaultSize="0" autoFill="0" autoPict="0">
            <anchor moveWithCells="1">
              <from>
                <xdr:col>4</xdr:col>
                <xdr:colOff>374650</xdr:colOff>
                <xdr:row>66</xdr:row>
                <xdr:rowOff>0</xdr:rowOff>
              </from>
              <to>
                <xdr:col>6</xdr:col>
                <xdr:colOff>571500</xdr:colOff>
                <xdr:row>68</xdr:row>
                <xdr:rowOff>152400</xdr:rowOff>
              </to>
            </anchor>
          </controlPr>
        </control>
      </mc:Choice>
    </mc:AlternateContent>
    <mc:AlternateContent xmlns:mc="http://schemas.openxmlformats.org/markup-compatibility/2006">
      <mc:Choice Requires="x14">
        <control shapeId="10280" r:id="rId9" name="Option Button 40">
          <controlPr defaultSize="0" autoFill="0" autoLine="0" autoPict="0">
            <anchor moveWithCells="1">
              <from>
                <xdr:col>4</xdr:col>
                <xdr:colOff>469900</xdr:colOff>
                <xdr:row>66</xdr:row>
                <xdr:rowOff>0</xdr:rowOff>
              </from>
              <to>
                <xdr:col>5</xdr:col>
                <xdr:colOff>57150</xdr:colOff>
                <xdr:row>67</xdr:row>
                <xdr:rowOff>69850</xdr:rowOff>
              </to>
            </anchor>
          </controlPr>
        </control>
      </mc:Choice>
    </mc:AlternateContent>
    <mc:AlternateContent xmlns:mc="http://schemas.openxmlformats.org/markup-compatibility/2006">
      <mc:Choice Requires="x14">
        <control shapeId="10281" r:id="rId10" name="Option Button 41">
          <controlPr defaultSize="0" autoFill="0" autoLine="0" autoPict="0">
            <anchor moveWithCells="1">
              <from>
                <xdr:col>5</xdr:col>
                <xdr:colOff>584200</xdr:colOff>
                <xdr:row>66</xdr:row>
                <xdr:rowOff>0</xdr:rowOff>
              </from>
              <to>
                <xdr:col>6</xdr:col>
                <xdr:colOff>0</xdr:colOff>
                <xdr:row>67</xdr:row>
                <xdr:rowOff>0</xdr:rowOff>
              </to>
            </anchor>
          </controlPr>
        </control>
      </mc:Choice>
    </mc:AlternateContent>
    <mc:AlternateContent xmlns:mc="http://schemas.openxmlformats.org/markup-compatibility/2006">
      <mc:Choice Requires="x14">
        <control shapeId="10292" r:id="rId11" name="Option Button 52">
          <controlPr defaultSize="0" autoFill="0" autoLine="0" autoPict="0">
            <anchor moveWithCells="1">
              <from>
                <xdr:col>4</xdr:col>
                <xdr:colOff>1060450</xdr:colOff>
                <xdr:row>39</xdr:row>
                <xdr:rowOff>50800</xdr:rowOff>
              </from>
              <to>
                <xdr:col>6</xdr:col>
                <xdr:colOff>0</xdr:colOff>
                <xdr:row>40</xdr:row>
                <xdr:rowOff>50800</xdr:rowOff>
              </to>
            </anchor>
          </controlPr>
        </control>
      </mc:Choice>
    </mc:AlternateContent>
    <mc:AlternateContent xmlns:mc="http://schemas.openxmlformats.org/markup-compatibility/2006">
      <mc:Choice Requires="x14">
        <control shapeId="10293" r:id="rId12" name="Option Button 53">
          <controlPr defaultSize="0" autoFill="0" autoLine="0" autoPict="0">
            <anchor moveWithCells="1">
              <from>
                <xdr:col>3</xdr:col>
                <xdr:colOff>1022350</xdr:colOff>
                <xdr:row>38</xdr:row>
                <xdr:rowOff>165100</xdr:rowOff>
              </from>
              <to>
                <xdr:col>6</xdr:col>
                <xdr:colOff>152400</xdr:colOff>
                <xdr:row>40</xdr:row>
                <xdr:rowOff>88900</xdr:rowOff>
              </to>
            </anchor>
          </controlPr>
        </control>
      </mc:Choice>
    </mc:AlternateContent>
    <mc:AlternateContent xmlns:mc="http://schemas.openxmlformats.org/markup-compatibility/2006">
      <mc:Choice Requires="x14">
        <control shapeId="10294" r:id="rId13" name="Option Button 54">
          <controlPr defaultSize="0" autoFill="0" autoLine="0" autoPict="0">
            <anchor moveWithCells="1">
              <from>
                <xdr:col>2</xdr:col>
                <xdr:colOff>546100</xdr:colOff>
                <xdr:row>38</xdr:row>
                <xdr:rowOff>190500</xdr:rowOff>
              </from>
              <to>
                <xdr:col>4</xdr:col>
                <xdr:colOff>647700</xdr:colOff>
                <xdr:row>40</xdr:row>
                <xdr:rowOff>50800</xdr:rowOff>
              </to>
            </anchor>
          </controlPr>
        </control>
      </mc:Choice>
    </mc:AlternateContent>
    <mc:AlternateContent xmlns:mc="http://schemas.openxmlformats.org/markup-compatibility/2006">
      <mc:Choice Requires="x14">
        <control shapeId="10544" r:id="rId14" name="Group Box 304">
          <controlPr defaultSize="0" autoFill="0" autoPict="0">
            <anchor moveWithCells="1">
              <from>
                <xdr:col>0</xdr:col>
                <xdr:colOff>1155700</xdr:colOff>
                <xdr:row>9</xdr:row>
                <xdr:rowOff>393700</xdr:rowOff>
              </from>
              <to>
                <xdr:col>2</xdr:col>
                <xdr:colOff>628650</xdr:colOff>
                <xdr:row>12</xdr:row>
                <xdr:rowOff>0</xdr:rowOff>
              </to>
            </anchor>
          </controlPr>
        </control>
      </mc:Choice>
    </mc:AlternateContent>
    <mc:AlternateContent xmlns:mc="http://schemas.openxmlformats.org/markup-compatibility/2006">
      <mc:Choice Requires="x14">
        <control shapeId="10545" r:id="rId15" name="Group Box 305">
          <controlPr defaultSize="0" autoFill="0" autoPict="0">
            <anchor moveWithCells="1">
              <from>
                <xdr:col>3</xdr:col>
                <xdr:colOff>152400</xdr:colOff>
                <xdr:row>9</xdr:row>
                <xdr:rowOff>342900</xdr:rowOff>
              </from>
              <to>
                <xdr:col>4</xdr:col>
                <xdr:colOff>590550</xdr:colOff>
                <xdr:row>12</xdr:row>
                <xdr:rowOff>0</xdr:rowOff>
              </to>
            </anchor>
          </controlPr>
        </control>
      </mc:Choice>
    </mc:AlternateContent>
    <mc:AlternateContent xmlns:mc="http://schemas.openxmlformats.org/markup-compatibility/2006">
      <mc:Choice Requires="x14">
        <control shapeId="10546" r:id="rId16" name="Option Button 306">
          <controlPr locked="0" defaultSize="0" autoFill="0" autoLine="0" autoPict="0">
            <anchor moveWithCells="1">
              <from>
                <xdr:col>3</xdr:col>
                <xdr:colOff>476250</xdr:colOff>
                <xdr:row>20</xdr:row>
                <xdr:rowOff>146050</xdr:rowOff>
              </from>
              <to>
                <xdr:col>6</xdr:col>
                <xdr:colOff>190500</xdr:colOff>
                <xdr:row>21</xdr:row>
                <xdr:rowOff>165100</xdr:rowOff>
              </to>
            </anchor>
          </controlPr>
        </control>
      </mc:Choice>
    </mc:AlternateContent>
    <mc:AlternateContent xmlns:mc="http://schemas.openxmlformats.org/markup-compatibility/2006">
      <mc:Choice Requires="x14">
        <control shapeId="10547" r:id="rId17" name="Option Button 307">
          <controlPr locked="0" defaultSize="0" autoFill="0" autoLine="0" autoPict="0">
            <anchor moveWithCells="1">
              <from>
                <xdr:col>6</xdr:col>
                <xdr:colOff>0</xdr:colOff>
                <xdr:row>20</xdr:row>
                <xdr:rowOff>146050</xdr:rowOff>
              </from>
              <to>
                <xdr:col>9</xdr:col>
                <xdr:colOff>0</xdr:colOff>
                <xdr:row>21</xdr:row>
                <xdr:rowOff>165100</xdr:rowOff>
              </to>
            </anchor>
          </controlPr>
        </control>
      </mc:Choice>
    </mc:AlternateContent>
    <mc:AlternateContent xmlns:mc="http://schemas.openxmlformats.org/markup-compatibility/2006">
      <mc:Choice Requires="x14">
        <control shapeId="10549" r:id="rId18" name="Option Button 309">
          <controlPr defaultSize="0" autoFill="0" autoLine="0" autoPict="0">
            <anchor moveWithCells="1">
              <from>
                <xdr:col>0</xdr:col>
                <xdr:colOff>850900</xdr:colOff>
                <xdr:row>66</xdr:row>
                <xdr:rowOff>0</xdr:rowOff>
              </from>
              <to>
                <xdr:col>1</xdr:col>
                <xdr:colOff>469900</xdr:colOff>
                <xdr:row>67</xdr:row>
                <xdr:rowOff>76200</xdr:rowOff>
              </to>
            </anchor>
          </controlPr>
        </control>
      </mc:Choice>
    </mc:AlternateContent>
    <mc:AlternateContent xmlns:mc="http://schemas.openxmlformats.org/markup-compatibility/2006">
      <mc:Choice Requires="x14">
        <control shapeId="10550" r:id="rId19" name="Option Button 310">
          <controlPr defaultSize="0" autoFill="0" autoLine="0" autoPict="0">
            <anchor moveWithCells="1">
              <from>
                <xdr:col>2</xdr:col>
                <xdr:colOff>476250</xdr:colOff>
                <xdr:row>66</xdr:row>
                <xdr:rowOff>0</xdr:rowOff>
              </from>
              <to>
                <xdr:col>3</xdr:col>
                <xdr:colOff>323850</xdr:colOff>
                <xdr:row>68</xdr:row>
                <xdr:rowOff>0</xdr:rowOff>
              </to>
            </anchor>
          </controlPr>
        </control>
      </mc:Choice>
    </mc:AlternateContent>
    <mc:AlternateContent xmlns:mc="http://schemas.openxmlformats.org/markup-compatibility/2006">
      <mc:Choice Requires="x14">
        <control shapeId="10551" r:id="rId20" name="Option Button 311">
          <controlPr defaultSize="0" autoFill="0" autoLine="0" autoPict="0">
            <anchor moveWithCells="1">
              <from>
                <xdr:col>3</xdr:col>
                <xdr:colOff>1250950</xdr:colOff>
                <xdr:row>66</xdr:row>
                <xdr:rowOff>0</xdr:rowOff>
              </from>
              <to>
                <xdr:col>4</xdr:col>
                <xdr:colOff>342900</xdr:colOff>
                <xdr:row>68</xdr:row>
                <xdr:rowOff>12700</xdr:rowOff>
              </to>
            </anchor>
          </controlPr>
        </control>
      </mc:Choice>
    </mc:AlternateContent>
    <mc:AlternateContent xmlns:mc="http://schemas.openxmlformats.org/markup-compatibility/2006">
      <mc:Choice Requires="x14">
        <control shapeId="10552" r:id="rId21" name="Group Box 312">
          <controlPr defaultSize="0" autoFill="0" autoPict="0">
            <anchor moveWithCells="1">
              <from>
                <xdr:col>0</xdr:col>
                <xdr:colOff>685800</xdr:colOff>
                <xdr:row>66</xdr:row>
                <xdr:rowOff>0</xdr:rowOff>
              </from>
              <to>
                <xdr:col>4</xdr:col>
                <xdr:colOff>317500</xdr:colOff>
                <xdr:row>70</xdr:row>
                <xdr:rowOff>0</xdr:rowOff>
              </to>
            </anchor>
          </controlPr>
        </control>
      </mc:Choice>
    </mc:AlternateContent>
    <mc:AlternateContent xmlns:mc="http://schemas.openxmlformats.org/markup-compatibility/2006">
      <mc:Choice Requires="x14">
        <control shapeId="10553" r:id="rId22" name="Group Box 313">
          <controlPr defaultSize="0" autoFill="0" autoPict="0">
            <anchor moveWithCells="1">
              <from>
                <xdr:col>2</xdr:col>
                <xdr:colOff>793750</xdr:colOff>
                <xdr:row>38</xdr:row>
                <xdr:rowOff>69850</xdr:rowOff>
              </from>
              <to>
                <xdr:col>8</xdr:col>
                <xdr:colOff>495300</xdr:colOff>
                <xdr:row>41</xdr:row>
                <xdr:rowOff>146050</xdr:rowOff>
              </to>
            </anchor>
          </controlPr>
        </control>
      </mc:Choice>
    </mc:AlternateContent>
    <mc:AlternateContent xmlns:mc="http://schemas.openxmlformats.org/markup-compatibility/2006">
      <mc:Choice Requires="x14">
        <control shapeId="10555" r:id="rId23" name="Group Box 315">
          <controlPr defaultSize="0" autoFill="0" autoPict="0">
            <anchor moveWithCells="1">
              <from>
                <xdr:col>4</xdr:col>
                <xdr:colOff>209550</xdr:colOff>
                <xdr:row>66</xdr:row>
                <xdr:rowOff>0</xdr:rowOff>
              </from>
              <to>
                <xdr:col>6</xdr:col>
                <xdr:colOff>419100</xdr:colOff>
                <xdr:row>69</xdr:row>
                <xdr:rowOff>95250</xdr:rowOff>
              </to>
            </anchor>
          </controlPr>
        </control>
      </mc:Choice>
    </mc:AlternateContent>
    <mc:AlternateContent xmlns:mc="http://schemas.openxmlformats.org/markup-compatibility/2006">
      <mc:Choice Requires="x14">
        <control shapeId="10557" r:id="rId24" name="Option Button 317">
          <controlPr defaultSize="0" autoFill="0" autoLine="0" autoPict="0">
            <anchor moveWithCells="1">
              <from>
                <xdr:col>1</xdr:col>
                <xdr:colOff>247650</xdr:colOff>
                <xdr:row>70</xdr:row>
                <xdr:rowOff>88900</xdr:rowOff>
              </from>
              <to>
                <xdr:col>2</xdr:col>
                <xdr:colOff>355600</xdr:colOff>
                <xdr:row>73</xdr:row>
                <xdr:rowOff>88900</xdr:rowOff>
              </to>
            </anchor>
          </controlPr>
        </control>
      </mc:Choice>
    </mc:AlternateContent>
    <mc:AlternateContent xmlns:mc="http://schemas.openxmlformats.org/markup-compatibility/2006">
      <mc:Choice Requires="x14">
        <control shapeId="10559" r:id="rId25" name="Group Box 319">
          <controlPr defaultSize="0" autoFill="0" autoPict="0">
            <anchor moveWithCells="1">
              <from>
                <xdr:col>0</xdr:col>
                <xdr:colOff>431800</xdr:colOff>
                <xdr:row>70</xdr:row>
                <xdr:rowOff>69850</xdr:rowOff>
              </from>
              <to>
                <xdr:col>4</xdr:col>
                <xdr:colOff>317500</xdr:colOff>
                <xdr:row>74</xdr:row>
                <xdr:rowOff>50800</xdr:rowOff>
              </to>
            </anchor>
          </controlPr>
        </control>
      </mc:Choice>
    </mc:AlternateContent>
    <mc:AlternateContent xmlns:mc="http://schemas.openxmlformats.org/markup-compatibility/2006">
      <mc:Choice Requires="x14">
        <control shapeId="10561" r:id="rId26" name="Option Button 321">
          <controlPr defaultSize="0" autoFill="0" autoLine="0" autoPict="0">
            <anchor moveWithCells="1">
              <from>
                <xdr:col>1</xdr:col>
                <xdr:colOff>209550</xdr:colOff>
                <xdr:row>45</xdr:row>
                <xdr:rowOff>38100</xdr:rowOff>
              </from>
              <to>
                <xdr:col>2</xdr:col>
                <xdr:colOff>355600</xdr:colOff>
                <xdr:row>47</xdr:row>
                <xdr:rowOff>127000</xdr:rowOff>
              </to>
            </anchor>
          </controlPr>
        </control>
      </mc:Choice>
    </mc:AlternateContent>
    <mc:AlternateContent xmlns:mc="http://schemas.openxmlformats.org/markup-compatibility/2006">
      <mc:Choice Requires="x14">
        <control shapeId="10563" r:id="rId27" name="Group Box 323">
          <controlPr defaultSize="0" autoFill="0" autoPict="0">
            <anchor moveWithCells="1">
              <from>
                <xdr:col>0</xdr:col>
                <xdr:colOff>476250</xdr:colOff>
                <xdr:row>125</xdr:row>
                <xdr:rowOff>69850</xdr:rowOff>
              </from>
              <to>
                <xdr:col>4</xdr:col>
                <xdr:colOff>317500</xdr:colOff>
                <xdr:row>130</xdr:row>
                <xdr:rowOff>133350</xdr:rowOff>
              </to>
            </anchor>
          </controlPr>
        </control>
      </mc:Choice>
    </mc:AlternateContent>
    <mc:AlternateContent xmlns:mc="http://schemas.openxmlformats.org/markup-compatibility/2006">
      <mc:Choice Requires="x14">
        <control shapeId="10959" r:id="rId28" name="Check Box 719">
          <controlPr defaultSize="0" autoFill="0" autoLine="0" autoPict="0">
            <anchor moveWithCells="1">
              <from>
                <xdr:col>7</xdr:col>
                <xdr:colOff>488950</xdr:colOff>
                <xdr:row>22</xdr:row>
                <xdr:rowOff>69850</xdr:rowOff>
              </from>
              <to>
                <xdr:col>9</xdr:col>
                <xdr:colOff>222250</xdr:colOff>
                <xdr:row>22</xdr:row>
                <xdr:rowOff>266700</xdr:rowOff>
              </to>
            </anchor>
          </controlPr>
        </control>
      </mc:Choice>
    </mc:AlternateContent>
    <mc:AlternateContent xmlns:mc="http://schemas.openxmlformats.org/markup-compatibility/2006">
      <mc:Choice Requires="x14">
        <control shapeId="10960" r:id="rId29" name="Check Box 720">
          <controlPr defaultSize="0" autoFill="0" autoLine="0" autoPict="0">
            <anchor moveWithCells="1">
              <from>
                <xdr:col>9</xdr:col>
                <xdr:colOff>355600</xdr:colOff>
                <xdr:row>22</xdr:row>
                <xdr:rowOff>50800</xdr:rowOff>
              </from>
              <to>
                <xdr:col>11</xdr:col>
                <xdr:colOff>0</xdr:colOff>
                <xdr:row>23</xdr:row>
                <xdr:rowOff>0</xdr:rowOff>
              </to>
            </anchor>
          </controlPr>
        </control>
      </mc:Choice>
    </mc:AlternateContent>
    <mc:AlternateContent xmlns:mc="http://schemas.openxmlformats.org/markup-compatibility/2006">
      <mc:Choice Requires="x14">
        <control shapeId="11022" r:id="rId30" name="Check Box 782">
          <controlPr defaultSize="0" autoFill="0" autoLine="0" autoPict="0">
            <anchor moveWithCells="1">
              <from>
                <xdr:col>1</xdr:col>
                <xdr:colOff>31750</xdr:colOff>
                <xdr:row>9</xdr:row>
                <xdr:rowOff>241300</xdr:rowOff>
              </from>
              <to>
                <xdr:col>1</xdr:col>
                <xdr:colOff>666750</xdr:colOff>
                <xdr:row>10</xdr:row>
                <xdr:rowOff>165100</xdr:rowOff>
              </to>
            </anchor>
          </controlPr>
        </control>
      </mc:Choice>
    </mc:AlternateContent>
    <mc:AlternateContent xmlns:mc="http://schemas.openxmlformats.org/markup-compatibility/2006">
      <mc:Choice Requires="x14">
        <control shapeId="11023" r:id="rId31" name="Check Box 783">
          <controlPr defaultSize="0" autoFill="0" autoLine="0" autoPict="0">
            <anchor moveWithCells="1">
              <from>
                <xdr:col>1</xdr:col>
                <xdr:colOff>488950</xdr:colOff>
                <xdr:row>9</xdr:row>
                <xdr:rowOff>222250</xdr:rowOff>
              </from>
              <to>
                <xdr:col>2</xdr:col>
                <xdr:colOff>374650</xdr:colOff>
                <xdr:row>10</xdr:row>
                <xdr:rowOff>171450</xdr:rowOff>
              </to>
            </anchor>
          </controlPr>
        </control>
      </mc:Choice>
    </mc:AlternateContent>
    <mc:AlternateContent xmlns:mc="http://schemas.openxmlformats.org/markup-compatibility/2006">
      <mc:Choice Requires="x14">
        <control shapeId="11024" r:id="rId32" name="Check Box 784">
          <controlPr defaultSize="0" autoFill="0" autoLine="0" autoPict="0">
            <anchor moveWithCells="1">
              <from>
                <xdr:col>3</xdr:col>
                <xdr:colOff>31750</xdr:colOff>
                <xdr:row>9</xdr:row>
                <xdr:rowOff>203200</xdr:rowOff>
              </from>
              <to>
                <xdr:col>3</xdr:col>
                <xdr:colOff>984250</xdr:colOff>
                <xdr:row>11</xdr:row>
                <xdr:rowOff>0</xdr:rowOff>
              </to>
            </anchor>
          </controlPr>
        </control>
      </mc:Choice>
    </mc:AlternateContent>
    <mc:AlternateContent xmlns:mc="http://schemas.openxmlformats.org/markup-compatibility/2006">
      <mc:Choice Requires="x14">
        <control shapeId="11025" r:id="rId33" name="Check Box 785">
          <controlPr defaultSize="0" autoFill="0" autoLine="0" autoPict="0">
            <anchor moveWithCells="1">
              <from>
                <xdr:col>3</xdr:col>
                <xdr:colOff>565150</xdr:colOff>
                <xdr:row>9</xdr:row>
                <xdr:rowOff>266700</xdr:rowOff>
              </from>
              <to>
                <xdr:col>3</xdr:col>
                <xdr:colOff>1003300</xdr:colOff>
                <xdr:row>10</xdr:row>
                <xdr:rowOff>241300</xdr:rowOff>
              </to>
            </anchor>
          </controlPr>
        </control>
      </mc:Choice>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A1:AA69"/>
  <sheetViews>
    <sheetView showGridLines="0" tabSelected="1" zoomScaleNormal="100" workbookViewId="0"/>
  </sheetViews>
  <sheetFormatPr defaultColWidth="0" defaultRowHeight="14.5" zeroHeight="1"/>
  <cols>
    <col min="1" max="1" width="17.453125" style="38" customWidth="1"/>
    <col min="2" max="2" width="11.54296875" style="38" customWidth="1"/>
    <col min="3" max="6" width="13.81640625" style="38" customWidth="1"/>
    <col min="7" max="7" width="1.81640625" style="38" customWidth="1"/>
    <col min="8" max="8" width="15.81640625" style="38" customWidth="1"/>
    <col min="9" max="9" width="13.81640625" style="38" customWidth="1"/>
    <col min="10" max="10" width="15.453125" style="38" customWidth="1"/>
    <col min="11" max="11" width="16.54296875" style="38" customWidth="1"/>
    <col min="12" max="12" width="16.26953125" style="38" customWidth="1"/>
    <col min="13" max="13" width="1.81640625" style="38" customWidth="1"/>
    <col min="14" max="16384" width="0" style="38" hidden="1"/>
  </cols>
  <sheetData>
    <row r="1" spans="1:27" ht="55" customHeight="1">
      <c r="A1" s="715" t="str">
        <f>Development!A3&amp;" "&amp;Development!A5</f>
        <v>2025 Commercial Efficiency Program</v>
      </c>
      <c r="B1" s="715"/>
      <c r="C1" s="715"/>
      <c r="D1" s="715"/>
      <c r="E1" s="715"/>
      <c r="F1" s="715"/>
      <c r="G1" s="715"/>
      <c r="H1" s="715"/>
      <c r="I1" s="9"/>
      <c r="J1" s="9"/>
      <c r="K1" s="9"/>
      <c r="L1" s="9"/>
      <c r="M1" s="183"/>
      <c r="Q1" s="153"/>
      <c r="R1" s="153"/>
      <c r="S1" s="153"/>
      <c r="T1" s="153"/>
      <c r="U1" s="153"/>
      <c r="V1" s="153"/>
      <c r="W1" s="153"/>
      <c r="X1" s="153"/>
      <c r="Y1" s="153"/>
      <c r="Z1" s="153"/>
      <c r="AA1" s="153"/>
    </row>
    <row r="2" spans="1:27" ht="55" customHeight="1" thickBot="1">
      <c r="A2" s="717" t="str">
        <f>"Commercial Weatherization Rebate Application, Version "&amp;Development!$A$2</f>
        <v>Commercial Weatherization Rebate Application, Version 1.0</v>
      </c>
      <c r="B2" s="715"/>
      <c r="C2" s="715"/>
      <c r="D2" s="715"/>
      <c r="E2" s="715"/>
      <c r="F2" s="715"/>
      <c r="G2" s="715"/>
      <c r="H2" s="715"/>
      <c r="I2" s="716"/>
      <c r="J2" s="716"/>
      <c r="K2" s="716"/>
      <c r="L2" s="716"/>
      <c r="M2" s="183"/>
    </row>
    <row r="3" spans="1:27" s="553" customFormat="1" ht="54.65" customHeight="1" thickTop="1">
      <c r="A3" s="1059" t="s">
        <v>1740</v>
      </c>
      <c r="B3" s="1059"/>
      <c r="C3" s="1059"/>
      <c r="D3" s="1059"/>
      <c r="E3" s="1059"/>
      <c r="F3" s="1059"/>
      <c r="G3" s="1059"/>
      <c r="H3" s="1059"/>
      <c r="I3" s="1059"/>
      <c r="J3" s="1059"/>
      <c r="K3" s="1059"/>
      <c r="L3" s="1059"/>
    </row>
    <row r="4" spans="1:27" ht="18.5" thickBot="1">
      <c r="A4" s="1060" t="s">
        <v>129</v>
      </c>
      <c r="B4" s="1060"/>
      <c r="C4" s="1060"/>
      <c r="D4" s="1060"/>
      <c r="E4" s="1060"/>
      <c r="F4" s="1060"/>
      <c r="G4" s="1060"/>
      <c r="H4" s="1060"/>
      <c r="I4" s="1060"/>
      <c r="J4" s="1060"/>
      <c r="K4" s="1060"/>
      <c r="L4" s="1060"/>
    </row>
    <row r="5" spans="1:27" ht="28" customHeight="1">
      <c r="A5" s="1052" t="s">
        <v>163</v>
      </c>
      <c r="B5" s="1052"/>
      <c r="C5" s="1048"/>
      <c r="D5" s="1048"/>
      <c r="E5" s="1048"/>
      <c r="F5" s="1048"/>
      <c r="G5" s="132"/>
      <c r="H5" s="132"/>
      <c r="I5" s="132"/>
      <c r="J5" s="285" t="s">
        <v>304</v>
      </c>
      <c r="K5" s="1048"/>
      <c r="L5" s="1048"/>
    </row>
    <row r="6" spans="1:27" ht="28" customHeight="1">
      <c r="A6" s="1052" t="s">
        <v>1741</v>
      </c>
      <c r="B6" s="1052"/>
      <c r="C6" s="1048"/>
      <c r="D6" s="1048"/>
      <c r="E6" s="1048"/>
      <c r="F6" s="1048"/>
      <c r="G6" s="132"/>
      <c r="H6" s="132"/>
      <c r="I6" s="132"/>
      <c r="J6" s="285" t="s">
        <v>2224</v>
      </c>
      <c r="K6" s="1061"/>
      <c r="L6" s="1061"/>
    </row>
    <row r="7" spans="1:27" ht="28" customHeight="1">
      <c r="A7" s="1052" t="s">
        <v>1742</v>
      </c>
      <c r="B7" s="1052"/>
      <c r="C7" s="1053"/>
      <c r="D7" s="1053"/>
      <c r="E7" s="1053"/>
      <c r="F7" s="1053"/>
      <c r="G7" s="132"/>
      <c r="H7" s="285" t="s">
        <v>0</v>
      </c>
      <c r="I7" s="1048"/>
      <c r="J7" s="1048"/>
      <c r="K7" s="285" t="s">
        <v>1</v>
      </c>
      <c r="L7" s="128"/>
    </row>
    <row r="8" spans="1:27" ht="28" customHeight="1">
      <c r="A8" s="1056" t="s">
        <v>152</v>
      </c>
      <c r="B8" s="1057"/>
      <c r="C8" s="1053"/>
      <c r="D8" s="1053"/>
      <c r="E8" s="1053"/>
      <c r="F8" s="1053"/>
      <c r="G8" s="132"/>
      <c r="H8" s="285" t="s">
        <v>0</v>
      </c>
      <c r="I8" s="1048"/>
      <c r="J8" s="1048"/>
      <c r="K8" s="285" t="s">
        <v>1</v>
      </c>
      <c r="L8" s="128"/>
    </row>
    <row r="9" spans="1:27" ht="28" customHeight="1">
      <c r="A9" s="1052" t="s">
        <v>1743</v>
      </c>
      <c r="B9" s="1052"/>
      <c r="C9" s="1053"/>
      <c r="D9" s="1053"/>
      <c r="E9" s="1053"/>
      <c r="F9" s="1053"/>
      <c r="G9" s="132"/>
      <c r="H9" s="132"/>
      <c r="I9" s="1058" t="s">
        <v>153</v>
      </c>
      <c r="J9" s="1058"/>
      <c r="K9" s="1063"/>
      <c r="L9" s="1063"/>
    </row>
    <row r="10" spans="1:27" ht="28" customHeight="1">
      <c r="A10" s="1052" t="s">
        <v>3</v>
      </c>
      <c r="B10" s="1052"/>
      <c r="C10" s="1053"/>
      <c r="D10" s="1053"/>
      <c r="E10" s="1053"/>
      <c r="F10" s="1053"/>
      <c r="G10" s="132"/>
      <c r="H10" s="132"/>
      <c r="I10" s="1038" t="s">
        <v>155</v>
      </c>
      <c r="J10" s="1038"/>
      <c r="K10" s="1055"/>
      <c r="L10" s="1055"/>
    </row>
    <row r="11" spans="1:27" ht="28" customHeight="1">
      <c r="A11" s="1052" t="s">
        <v>4</v>
      </c>
      <c r="B11" s="1052"/>
      <c r="C11" s="1054"/>
      <c r="D11" s="1053"/>
      <c r="E11" s="1053"/>
      <c r="F11" s="1053"/>
      <c r="G11" s="132"/>
      <c r="H11" s="132"/>
      <c r="I11" s="1038" t="s">
        <v>5</v>
      </c>
      <c r="J11" s="1038"/>
      <c r="K11" s="1055"/>
      <c r="L11" s="1055"/>
    </row>
    <row r="12" spans="1:27">
      <c r="A12" s="284"/>
      <c r="B12" s="284"/>
      <c r="C12" s="132"/>
      <c r="D12" s="132"/>
      <c r="E12" s="132"/>
      <c r="F12" s="132"/>
      <c r="G12" s="132"/>
      <c r="H12" s="132"/>
      <c r="I12" s="132"/>
      <c r="J12" s="132"/>
      <c r="K12" s="132"/>
      <c r="L12" s="132"/>
    </row>
    <row r="13" spans="1:27" s="44" customFormat="1" ht="4.5" customHeight="1">
      <c r="A13" s="32"/>
      <c r="B13" s="32"/>
      <c r="C13" s="77"/>
      <c r="D13" s="77"/>
      <c r="E13" s="77"/>
      <c r="F13" s="77"/>
      <c r="G13" s="77"/>
      <c r="H13" s="77"/>
      <c r="I13" s="77"/>
      <c r="J13" s="77"/>
      <c r="K13" s="77"/>
      <c r="L13" s="77"/>
    </row>
    <row r="14" spans="1:27" ht="28" customHeight="1">
      <c r="A14" s="1069" t="s">
        <v>1744</v>
      </c>
      <c r="B14" s="1069"/>
      <c r="C14" s="1072" t="s">
        <v>2303</v>
      </c>
      <c r="D14" s="1072"/>
      <c r="E14" s="132"/>
      <c r="F14" s="132"/>
      <c r="G14" s="132"/>
      <c r="H14" s="214"/>
      <c r="I14" s="132"/>
      <c r="J14" s="1070" t="s">
        <v>1745</v>
      </c>
      <c r="K14" s="1038"/>
      <c r="L14" s="747"/>
    </row>
    <row r="15" spans="1:27" ht="22" customHeight="1">
      <c r="A15" s="141"/>
      <c r="B15" s="516"/>
      <c r="C15" s="1064"/>
      <c r="D15" s="1064"/>
      <c r="E15" s="1064"/>
      <c r="F15" s="1064"/>
      <c r="G15" s="1064"/>
      <c r="H15" s="1064"/>
      <c r="I15" s="1064"/>
      <c r="J15" s="154"/>
      <c r="K15" s="154"/>
      <c r="L15" s="154"/>
    </row>
    <row r="16" spans="1:27" ht="9.65" customHeight="1">
      <c r="A16" s="625"/>
      <c r="B16" s="516"/>
      <c r="C16" s="517"/>
      <c r="D16" s="517"/>
      <c r="E16" s="517"/>
      <c r="F16" s="517"/>
      <c r="G16" s="517"/>
      <c r="H16" s="517"/>
      <c r="I16" s="517"/>
      <c r="J16" s="516"/>
      <c r="K16" s="154"/>
      <c r="L16" s="154"/>
    </row>
    <row r="17" spans="1:12" ht="24" customHeight="1">
      <c r="A17" s="626" t="s">
        <v>1746</v>
      </c>
      <c r="B17" s="626"/>
      <c r="C17" s="1072" t="s">
        <v>1611</v>
      </c>
      <c r="D17" s="1072"/>
      <c r="E17" s="195"/>
      <c r="F17" s="195"/>
      <c r="G17" s="195"/>
      <c r="H17" s="195"/>
      <c r="I17" s="195"/>
      <c r="J17" s="1037" t="s">
        <v>2322</v>
      </c>
      <c r="K17" s="1038"/>
      <c r="L17" s="747"/>
    </row>
    <row r="18" spans="1:12" ht="27.75" customHeight="1">
      <c r="A18" s="627"/>
      <c r="B18" s="627"/>
      <c r="C18" s="283"/>
      <c r="D18" s="283"/>
      <c r="E18" s="283"/>
      <c r="F18" s="132"/>
      <c r="G18" s="132"/>
      <c r="H18" s="132"/>
      <c r="I18" s="132"/>
      <c r="J18" s="154"/>
      <c r="K18" s="154"/>
      <c r="L18" s="154"/>
    </row>
    <row r="19" spans="1:12" ht="28" customHeight="1">
      <c r="A19" s="628" t="s">
        <v>305</v>
      </c>
      <c r="B19" s="628"/>
      <c r="C19" s="1072" t="s">
        <v>2303</v>
      </c>
      <c r="D19" s="1072"/>
      <c r="E19" s="1072"/>
      <c r="F19" s="195"/>
      <c r="G19" s="195"/>
      <c r="H19" s="195"/>
      <c r="I19" s="195"/>
      <c r="J19" s="516"/>
      <c r="K19" s="154"/>
      <c r="L19" s="154"/>
    </row>
    <row r="20" spans="1:12">
      <c r="A20" s="35"/>
      <c r="B20" s="35"/>
      <c r="C20" s="1065"/>
      <c r="D20" s="1065"/>
      <c r="E20" s="1065"/>
      <c r="F20" s="1065"/>
      <c r="G20" s="1065"/>
      <c r="H20" s="1065"/>
      <c r="I20" s="1065"/>
      <c r="J20" s="1066"/>
      <c r="K20" s="1066"/>
      <c r="L20" s="1066"/>
    </row>
    <row r="21" spans="1:12" ht="27.75" customHeight="1">
      <c r="A21" s="35"/>
      <c r="B21" s="35"/>
      <c r="C21" s="283"/>
      <c r="D21" s="283"/>
      <c r="E21" s="283"/>
      <c r="F21" s="283"/>
      <c r="G21" s="283"/>
      <c r="H21" s="283"/>
      <c r="I21" s="283"/>
      <c r="J21" s="284"/>
      <c r="K21" s="284"/>
      <c r="L21" s="284"/>
    </row>
    <row r="22" spans="1:12" ht="44.5" customHeight="1">
      <c r="A22" s="1073" t="s">
        <v>2637</v>
      </c>
      <c r="B22" s="1073"/>
      <c r="C22" s="1072" t="s">
        <v>2621</v>
      </c>
      <c r="D22" s="1072"/>
      <c r="E22" s="1072"/>
      <c r="F22" s="195"/>
      <c r="G22" s="195"/>
      <c r="H22" s="195"/>
      <c r="I22" s="195"/>
      <c r="J22" s="516"/>
      <c r="K22" s="154"/>
      <c r="L22" s="154"/>
    </row>
    <row r="23" spans="1:12" customFormat="1" ht="28" customHeight="1">
      <c r="A23" s="1071" t="s">
        <v>2636</v>
      </c>
      <c r="B23" s="1071"/>
      <c r="C23" s="1074" t="s">
        <v>2624</v>
      </c>
      <c r="D23" s="1074"/>
      <c r="E23" s="1074"/>
      <c r="F23" s="1074"/>
    </row>
    <row r="24" spans="1:12" customFormat="1" ht="28" customHeight="1"/>
    <row r="25" spans="1:12" ht="18.5" thickBot="1">
      <c r="A25" s="1040" t="s">
        <v>6</v>
      </c>
      <c r="B25" s="1040"/>
      <c r="C25" s="1040"/>
      <c r="D25" s="1040"/>
      <c r="E25" s="1040"/>
      <c r="F25" s="1040"/>
      <c r="G25" s="1040"/>
      <c r="H25" s="1040"/>
      <c r="I25" s="1040"/>
      <c r="J25" s="1040"/>
      <c r="K25" s="1040"/>
      <c r="L25" s="1040"/>
    </row>
    <row r="26" spans="1:12" ht="28" customHeight="1">
      <c r="A26" s="1052" t="s">
        <v>7</v>
      </c>
      <c r="B26" s="1052"/>
      <c r="C26" s="1048"/>
      <c r="D26" s="1048"/>
      <c r="E26" s="1048"/>
      <c r="F26" s="1048"/>
      <c r="G26" s="129"/>
      <c r="H26" s="129"/>
      <c r="I26" s="156"/>
      <c r="J26" s="156"/>
      <c r="K26" s="156"/>
      <c r="L26" s="129"/>
    </row>
    <row r="27" spans="1:12" ht="28" customHeight="1">
      <c r="A27" s="1052" t="s">
        <v>8</v>
      </c>
      <c r="B27" s="1052"/>
      <c r="C27" s="1053"/>
      <c r="D27" s="1053"/>
      <c r="E27" s="1053"/>
      <c r="F27" s="1053"/>
      <c r="G27" s="132"/>
      <c r="H27" s="285" t="s">
        <v>0</v>
      </c>
      <c r="I27" s="1048"/>
      <c r="J27" s="1048"/>
      <c r="K27" s="285" t="s">
        <v>1</v>
      </c>
      <c r="L27" s="128"/>
    </row>
    <row r="28" spans="1:12" ht="28" customHeight="1">
      <c r="A28" s="1052" t="s">
        <v>3</v>
      </c>
      <c r="B28" s="1052"/>
      <c r="C28" s="1053"/>
      <c r="D28" s="1053"/>
      <c r="E28" s="1053"/>
      <c r="F28" s="1053"/>
      <c r="G28" s="132"/>
      <c r="J28" s="285" t="s">
        <v>2</v>
      </c>
      <c r="K28" s="1063"/>
      <c r="L28" s="1063"/>
    </row>
    <row r="29" spans="1:12" ht="28" customHeight="1">
      <c r="A29" s="1052" t="s">
        <v>156</v>
      </c>
      <c r="B29" s="1052"/>
      <c r="C29" s="1053"/>
      <c r="D29" s="1053"/>
      <c r="E29" s="1053"/>
      <c r="F29" s="1053"/>
      <c r="G29" s="132"/>
      <c r="J29" s="285" t="s">
        <v>155</v>
      </c>
      <c r="K29" s="1055"/>
      <c r="L29" s="1055"/>
    </row>
    <row r="30" spans="1:12" ht="28" customHeight="1">
      <c r="A30" s="1052" t="s">
        <v>4</v>
      </c>
      <c r="B30" s="1052"/>
      <c r="C30" s="1054"/>
      <c r="D30" s="1053"/>
      <c r="E30" s="1053"/>
      <c r="F30" s="1053"/>
      <c r="G30" s="132"/>
      <c r="J30" s="285" t="s">
        <v>5</v>
      </c>
      <c r="K30" s="1055"/>
      <c r="L30" s="1055"/>
    </row>
    <row r="31" spans="1:12">
      <c r="A31" s="132"/>
      <c r="B31" s="132"/>
      <c r="C31" s="132"/>
      <c r="D31" s="132"/>
      <c r="E31" s="132"/>
      <c r="F31" s="132"/>
      <c r="G31" s="132"/>
      <c r="H31" s="132"/>
      <c r="I31" s="132"/>
      <c r="J31" s="132"/>
      <c r="K31" s="132"/>
      <c r="L31" s="132"/>
    </row>
    <row r="32" spans="1:12" ht="51.65" customHeight="1">
      <c r="A32" s="1067" t="s">
        <v>138</v>
      </c>
      <c r="B32" s="1067"/>
      <c r="C32" s="1067"/>
      <c r="D32" s="1067"/>
      <c r="E32" s="1067"/>
      <c r="F32" s="1067"/>
      <c r="G32" s="1067"/>
      <c r="H32" s="1067"/>
      <c r="I32" s="1067"/>
      <c r="J32" s="1067"/>
      <c r="K32" s="1067"/>
      <c r="L32" s="1067"/>
    </row>
    <row r="33" spans="1:12" ht="28" customHeight="1">
      <c r="A33" s="1052" t="s">
        <v>3</v>
      </c>
      <c r="B33" s="1052"/>
      <c r="C33" s="1068" t="str">
        <f>IF($C$28="","",$C$28)</f>
        <v/>
      </c>
      <c r="D33" s="1068"/>
      <c r="E33" s="1068"/>
      <c r="F33" s="1068"/>
      <c r="G33" s="132"/>
      <c r="H33" s="70" t="s">
        <v>306</v>
      </c>
      <c r="I33" s="1039"/>
      <c r="J33" s="1039"/>
      <c r="K33" s="1039"/>
      <c r="L33" s="1039"/>
    </row>
    <row r="34" spans="1:12">
      <c r="A34" s="282"/>
      <c r="B34" s="282"/>
      <c r="C34" s="284"/>
      <c r="D34" s="284"/>
      <c r="E34" s="284"/>
      <c r="F34" s="284"/>
      <c r="G34" s="132"/>
      <c r="H34" s="70"/>
      <c r="I34" s="284"/>
      <c r="J34" s="284"/>
      <c r="K34" s="284"/>
      <c r="L34" s="284"/>
    </row>
    <row r="35" spans="1:12" ht="18.5" thickBot="1">
      <c r="A35" s="1040" t="s">
        <v>157</v>
      </c>
      <c r="B35" s="1040"/>
      <c r="C35" s="1040"/>
      <c r="D35" s="1040"/>
      <c r="E35" s="1040"/>
      <c r="F35" s="1040"/>
      <c r="G35" s="1040"/>
      <c r="H35" s="1040"/>
      <c r="I35" s="1040"/>
      <c r="J35" s="1040"/>
      <c r="K35" s="1040"/>
      <c r="L35" s="1040"/>
    </row>
    <row r="36" spans="1:12" ht="22" customHeight="1">
      <c r="A36" s="132"/>
      <c r="B36" s="130"/>
      <c r="C36" s="130"/>
      <c r="D36" s="130"/>
      <c r="E36" s="130"/>
      <c r="F36" s="130"/>
      <c r="G36" s="132"/>
      <c r="H36" s="132"/>
      <c r="I36" s="132"/>
      <c r="J36" s="73" t="s">
        <v>2028</v>
      </c>
      <c r="K36" s="1062">
        <f>IFERROR(SUM(Worksheet!J48,Worksheet!J87,Worksheet!J107,Worksheet!J147,Worksheet!J165),0)</f>
        <v>0</v>
      </c>
      <c r="L36" s="1062"/>
    </row>
    <row r="37" spans="1:12" ht="43.75" customHeight="1">
      <c r="A37" s="1043" t="s">
        <v>1747</v>
      </c>
      <c r="B37" s="1043"/>
      <c r="C37" s="1043"/>
      <c r="D37" s="1043"/>
      <c r="E37" s="1043"/>
      <c r="F37" s="1043"/>
      <c r="G37" s="1043"/>
      <c r="H37" s="1043"/>
      <c r="I37" s="1043"/>
      <c r="J37" s="1043"/>
      <c r="K37" s="1043"/>
      <c r="L37" s="1043"/>
    </row>
    <row r="38" spans="1:12" ht="3" customHeight="1">
      <c r="A38" s="281"/>
      <c r="B38" s="281"/>
      <c r="C38" s="281"/>
      <c r="D38" s="281"/>
      <c r="E38" s="281"/>
      <c r="F38" s="281"/>
      <c r="G38" s="283"/>
      <c r="H38" s="283"/>
      <c r="I38" s="283"/>
      <c r="J38" s="283"/>
      <c r="K38" s="283"/>
      <c r="L38" s="283"/>
    </row>
    <row r="39" spans="1:12" ht="163.5" customHeight="1">
      <c r="A39" s="1044" t="s">
        <v>1748</v>
      </c>
      <c r="B39" s="1045"/>
      <c r="C39" s="1045"/>
      <c r="D39" s="1045"/>
      <c r="E39" s="1045"/>
      <c r="F39" s="1045"/>
      <c r="G39" s="1045"/>
      <c r="H39" s="1045"/>
      <c r="I39" s="1045"/>
      <c r="J39" s="1045"/>
      <c r="K39" s="1045"/>
      <c r="L39" s="1045"/>
    </row>
    <row r="40" spans="1:12" ht="35.15" customHeight="1">
      <c r="A40" s="1046" t="s">
        <v>1293</v>
      </c>
      <c r="B40" s="1047"/>
      <c r="C40" s="1048"/>
      <c r="D40" s="1048"/>
      <c r="E40" s="1048"/>
      <c r="F40" s="1048"/>
      <c r="G40" s="1048"/>
      <c r="H40" s="1048"/>
      <c r="I40" s="1048"/>
      <c r="J40" s="132"/>
      <c r="K40" s="132"/>
      <c r="L40" s="132"/>
    </row>
    <row r="41" spans="1:12">
      <c r="A41" s="280"/>
      <c r="B41" s="281"/>
      <c r="C41" s="283"/>
      <c r="D41" s="283"/>
      <c r="E41" s="283"/>
      <c r="F41" s="283"/>
      <c r="G41" s="283"/>
      <c r="H41" s="283"/>
      <c r="I41" s="283"/>
      <c r="J41" s="132"/>
      <c r="K41" s="132"/>
      <c r="L41" s="132"/>
    </row>
    <row r="42" spans="1:12" ht="50.15" customHeight="1">
      <c r="A42" s="1046" t="s">
        <v>307</v>
      </c>
      <c r="B42" s="1047"/>
      <c r="C42" s="1049"/>
      <c r="D42" s="1049"/>
      <c r="E42" s="1049"/>
      <c r="F42" s="1049"/>
      <c r="G42" s="1049"/>
      <c r="H42" s="1049"/>
      <c r="I42" s="1049"/>
      <c r="J42" s="285" t="s">
        <v>9</v>
      </c>
      <c r="K42" s="1050"/>
      <c r="L42" s="1051"/>
    </row>
    <row r="43" spans="1:12">
      <c r="A43" s="280"/>
      <c r="B43" s="280"/>
      <c r="C43" s="132"/>
      <c r="D43" s="132"/>
      <c r="E43" s="132"/>
      <c r="F43" s="132"/>
      <c r="G43" s="132"/>
      <c r="H43" s="132"/>
      <c r="I43" s="132"/>
      <c r="J43" s="70"/>
      <c r="K43" s="37"/>
      <c r="L43" s="37"/>
    </row>
    <row r="44" spans="1:12">
      <c r="A44" s="280"/>
      <c r="B44" s="280"/>
      <c r="C44" s="132"/>
      <c r="D44" s="132"/>
      <c r="E44" s="132"/>
      <c r="F44" s="132"/>
      <c r="G44" s="132"/>
      <c r="H44" s="132"/>
      <c r="I44" s="132"/>
      <c r="J44" s="70"/>
      <c r="K44" s="37"/>
      <c r="L44" s="37"/>
    </row>
    <row r="45" spans="1:12">
      <c r="A45" s="132"/>
      <c r="B45" s="132"/>
      <c r="C45" s="132"/>
      <c r="D45" s="132"/>
      <c r="E45" s="132"/>
      <c r="F45" s="132"/>
      <c r="G45" s="132"/>
      <c r="H45" s="132"/>
      <c r="I45" s="132"/>
      <c r="J45" s="157" t="s">
        <v>308</v>
      </c>
      <c r="K45" s="158" t="s">
        <v>168</v>
      </c>
      <c r="L45" s="131"/>
    </row>
    <row r="46" spans="1:12">
      <c r="A46" s="132"/>
      <c r="B46" s="132"/>
      <c r="C46" s="132"/>
      <c r="D46" s="132"/>
      <c r="E46" s="132"/>
      <c r="F46" s="132"/>
      <c r="G46" s="132"/>
      <c r="H46" s="132"/>
      <c r="I46" s="132"/>
      <c r="J46" s="132"/>
      <c r="K46" s="132"/>
      <c r="L46" s="132"/>
    </row>
    <row r="47" spans="1:12" ht="19.75" customHeight="1">
      <c r="A47" s="74" t="s">
        <v>165</v>
      </c>
      <c r="B47" s="479" t="str">
        <f>Development!A2</f>
        <v>1.0</v>
      </c>
      <c r="C47" s="76"/>
      <c r="D47" s="1041"/>
      <c r="E47" s="1041"/>
      <c r="F47" s="1041"/>
      <c r="G47" s="1042"/>
      <c r="H47" s="1042"/>
      <c r="I47" s="1042"/>
      <c r="J47" s="77"/>
      <c r="K47" s="78" t="s">
        <v>167</v>
      </c>
      <c r="L47" s="79" t="str">
        <f>Development!A4</f>
        <v>01.01.2025</v>
      </c>
    </row>
    <row r="48" spans="1:12"/>
    <row r="49"/>
    <row r="50"/>
    <row r="51"/>
    <row r="52"/>
    <row r="61"/>
    <row r="62"/>
    <row r="63"/>
    <row r="64"/>
    <row r="65"/>
    <row r="66"/>
    <row r="67"/>
    <row r="68"/>
    <row r="69"/>
  </sheetData>
  <sheetProtection algorithmName="SHA-512" hashValue="YtBE4HPnAUNGlFX7M+8wUrsxw86Jti9jqthZOv5ghu5lBXGe2XJc1O8ISa9c1R94pOkLYO0wBPPhPLaNORBHvA==" saltValue="BW8ui90uhYlUfhOiKB4h+g==" spinCount="100000" sheet="1" objects="1" scenarios="1"/>
  <mergeCells count="69">
    <mergeCell ref="A23:B23"/>
    <mergeCell ref="C22:E22"/>
    <mergeCell ref="A22:B22"/>
    <mergeCell ref="C14:D14"/>
    <mergeCell ref="C19:E19"/>
    <mergeCell ref="C17:D17"/>
    <mergeCell ref="C23:F23"/>
    <mergeCell ref="K36:L36"/>
    <mergeCell ref="K9:L9"/>
    <mergeCell ref="C15:I15"/>
    <mergeCell ref="I27:J27"/>
    <mergeCell ref="C20:I20"/>
    <mergeCell ref="J20:L20"/>
    <mergeCell ref="A25:L25"/>
    <mergeCell ref="K28:L28"/>
    <mergeCell ref="K29:L29"/>
    <mergeCell ref="K30:L30"/>
    <mergeCell ref="A32:L32"/>
    <mergeCell ref="A33:B33"/>
    <mergeCell ref="C33:F33"/>
    <mergeCell ref="C10:F10"/>
    <mergeCell ref="A14:B14"/>
    <mergeCell ref="J14:K14"/>
    <mergeCell ref="A6:B6"/>
    <mergeCell ref="C6:F6"/>
    <mergeCell ref="K6:L6"/>
    <mergeCell ref="A7:B7"/>
    <mergeCell ref="C7:F7"/>
    <mergeCell ref="I7:J7"/>
    <mergeCell ref="A3:L3"/>
    <mergeCell ref="A4:L4"/>
    <mergeCell ref="A5:B5"/>
    <mergeCell ref="C5:F5"/>
    <mergeCell ref="K5:L5"/>
    <mergeCell ref="A8:B8"/>
    <mergeCell ref="C8:F8"/>
    <mergeCell ref="I8:J8"/>
    <mergeCell ref="A9:B9"/>
    <mergeCell ref="C9:F9"/>
    <mergeCell ref="I9:J9"/>
    <mergeCell ref="I10:J10"/>
    <mergeCell ref="K10:L10"/>
    <mergeCell ref="A11:B11"/>
    <mergeCell ref="C11:F11"/>
    <mergeCell ref="I11:J11"/>
    <mergeCell ref="K11:L11"/>
    <mergeCell ref="A10:B10"/>
    <mergeCell ref="A26:B26"/>
    <mergeCell ref="C26:F26"/>
    <mergeCell ref="A27:B27"/>
    <mergeCell ref="C27:F27"/>
    <mergeCell ref="A28:B28"/>
    <mergeCell ref="C28:F28"/>
    <mergeCell ref="J17:K17"/>
    <mergeCell ref="I33:L33"/>
    <mergeCell ref="A35:L35"/>
    <mergeCell ref="D47:F47"/>
    <mergeCell ref="G47:I47"/>
    <mergeCell ref="A37:L37"/>
    <mergeCell ref="A39:L39"/>
    <mergeCell ref="A40:B40"/>
    <mergeCell ref="C40:I40"/>
    <mergeCell ref="A42:B42"/>
    <mergeCell ref="C42:I42"/>
    <mergeCell ref="K42:L42"/>
    <mergeCell ref="A29:B29"/>
    <mergeCell ref="C29:F29"/>
    <mergeCell ref="A30:B30"/>
    <mergeCell ref="C30:F30"/>
  </mergeCells>
  <conditionalFormatting sqref="A1:H1">
    <cfRule type="cellIs" dxfId="51" priority="1" stopIfTrue="1" operator="equal">
      <formula>"Missing Info"</formula>
    </cfRule>
  </conditionalFormatting>
  <conditionalFormatting sqref="K36">
    <cfRule type="expression" dxfId="50" priority="2" stopIfTrue="1">
      <formula>K36=""</formula>
    </cfRule>
  </conditionalFormatting>
  <dataValidations count="4">
    <dataValidation type="whole" allowBlank="1" showInputMessage="1" showErrorMessage="1" errorTitle="This is a Numer feild" error="Please only enter numbers into this cell. " sqref="K11:L11" xr:uid="{3C670531-E99C-4485-939E-A245753D4E8D}">
      <formula1>0</formula1>
      <formula2>100000000000</formula2>
    </dataValidation>
    <dataValidation type="whole" allowBlank="1" showInputMessage="1" showErrorMessage="1" errorTitle="Building Size" error="Building must be 10,000 sqft or less" sqref="L14" xr:uid="{56FB19BB-AC24-4F7C-BAA7-630A5C186B59}">
      <formula1>0</formula1>
      <formula2>10000</formula2>
    </dataValidation>
    <dataValidation type="whole" allowBlank="1" showInputMessage="1" showErrorMessage="1" errorTitle="Daily Hours f Operation" error="Daily hours cannot exceed 24 hours." sqref="L17" xr:uid="{55FBC82F-6F3C-410A-81AE-DCC7FBDBC838}">
      <formula1>0</formula1>
      <formula2>24</formula2>
    </dataValidation>
    <dataValidation type="list" allowBlank="1" showInputMessage="1" showErrorMessage="1" sqref="C22:E22" xr:uid="{16B77259-51F2-4839-A8BF-4ABAB47C6B6B}">
      <formula1>DAC</formula1>
    </dataValidation>
  </dataValidations>
  <hyperlinks>
    <hyperlink ref="C23" r:id="rId1" xr:uid="{3882053E-F49C-4F0C-937B-34BC169B3B76}"/>
  </hyperlinks>
  <pageMargins left="0.7" right="0.7" top="0.75" bottom="0.75" header="0.3" footer="0.3"/>
  <pageSetup scale="52" orientation="portrait" r:id="rId2"/>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97680" r:id="rId5" name="Group Box 400">
              <controlPr defaultSize="0" autoFill="0" autoPict="0">
                <anchor moveWithCells="1">
                  <from>
                    <xdr:col>1</xdr:col>
                    <xdr:colOff>6572250</xdr:colOff>
                    <xdr:row>10</xdr:row>
                    <xdr:rowOff>3048000</xdr:rowOff>
                  </from>
                  <to>
                    <xdr:col>10</xdr:col>
                    <xdr:colOff>685800</xdr:colOff>
                    <xdr:row>14</xdr:row>
                    <xdr:rowOff>241300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D6A1AE8B-AA29-4748-8534-136A73C87124}">
          <x14:formula1>
            <xm:f>References!$B$11:$B$32</xm:f>
          </x14:formula1>
          <xm:sqref>C17:D17</xm:sqref>
        </x14:dataValidation>
        <x14:dataValidation type="list" allowBlank="1" showInputMessage="1" showErrorMessage="1" xr:uid="{53B73DA7-41E1-4A30-9B44-E2AA95516C4E}">
          <x14:formula1>
            <xm:f>References!$A$4:$A$7</xm:f>
          </x14:formula1>
          <xm:sqref>C14:D14</xm:sqref>
        </x14:dataValidation>
        <x14:dataValidation type="list" allowBlank="1" showInputMessage="1" showErrorMessage="1" xr:uid="{77CACA90-6D41-49BB-AF4B-8DC8378A9F75}">
          <x14:formula1>
            <xm:f>References!$C$4:$C$6</xm:f>
          </x14:formula1>
          <xm:sqref>C19:E19</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dimension ref="A1:P207"/>
  <sheetViews>
    <sheetView showGridLines="0" zoomScale="90" zoomScaleNormal="90" workbookViewId="0">
      <selection sqref="A1:J1"/>
    </sheetView>
  </sheetViews>
  <sheetFormatPr defaultColWidth="0" defaultRowHeight="14.5" customHeight="1" zeroHeight="1"/>
  <cols>
    <col min="1" max="1" width="14" style="38" customWidth="1"/>
    <col min="2" max="2" width="11.1796875" style="38" customWidth="1"/>
    <col min="3" max="3" width="12.1796875" style="38" customWidth="1"/>
    <col min="4" max="4" width="14.453125" style="38" customWidth="1"/>
    <col min="5" max="5" width="10.54296875" style="38" customWidth="1"/>
    <col min="6" max="6" width="12" style="38" customWidth="1"/>
    <col min="7" max="7" width="11.54296875" style="38" customWidth="1"/>
    <col min="8" max="10" width="10.54296875" style="38" customWidth="1"/>
    <col min="11" max="11" width="19.54296875" style="38" customWidth="1"/>
    <col min="12" max="13" width="10.54296875" style="38" customWidth="1"/>
    <col min="14" max="14" width="9.1796875" style="38" customWidth="1"/>
    <col min="15" max="15" width="14.81640625" style="38" customWidth="1"/>
    <col min="16" max="16384" width="8.7265625" style="38" hidden="1"/>
  </cols>
  <sheetData>
    <row r="1" spans="1:16" ht="55" customHeight="1">
      <c r="A1" s="1410" t="str">
        <f>Development!$A$3&amp;" Residential Efficiency Program"</f>
        <v>2025 Residential Efficiency Program</v>
      </c>
      <c r="B1" s="1410"/>
      <c r="C1" s="1410"/>
      <c r="D1" s="1410"/>
      <c r="E1" s="1410"/>
      <c r="F1" s="1410"/>
      <c r="G1" s="1410"/>
      <c r="H1" s="1410"/>
      <c r="I1" s="1410"/>
      <c r="J1" s="1410"/>
      <c r="K1" s="6"/>
      <c r="L1" s="6"/>
      <c r="M1" s="6"/>
      <c r="N1" s="6"/>
      <c r="O1" s="6"/>
    </row>
    <row r="2" spans="1:16" ht="55" customHeight="1">
      <c r="A2" s="1418" t="s">
        <v>100</v>
      </c>
      <c r="B2" s="1418"/>
      <c r="C2" s="1418"/>
      <c r="D2" s="1418"/>
      <c r="E2" s="1418"/>
      <c r="F2" s="1418"/>
      <c r="G2" s="1418"/>
      <c r="H2" s="1418"/>
      <c r="I2" s="1418"/>
      <c r="J2" s="1418"/>
      <c r="K2" s="7"/>
      <c r="L2" s="7"/>
      <c r="M2" s="7"/>
      <c r="N2" s="7"/>
      <c r="O2" s="7"/>
    </row>
    <row r="3" spans="1:16" ht="31" thickBot="1">
      <c r="A3" s="23" t="s">
        <v>102</v>
      </c>
      <c r="B3" s="23"/>
      <c r="C3" s="23"/>
      <c r="D3" s="23"/>
      <c r="E3" s="23"/>
      <c r="F3" s="23"/>
      <c r="G3" s="23"/>
      <c r="H3" s="23"/>
      <c r="I3" s="23"/>
      <c r="J3" s="23"/>
      <c r="K3" s="23"/>
      <c r="L3" s="23"/>
      <c r="M3" s="23"/>
      <c r="N3" s="23"/>
      <c r="O3" s="7"/>
    </row>
    <row r="4" spans="1:16" ht="18.75" customHeight="1">
      <c r="A4" s="24"/>
      <c r="B4" s="24"/>
      <c r="C4" s="24"/>
      <c r="D4" s="24"/>
      <c r="E4" s="24"/>
      <c r="F4" s="24"/>
      <c r="G4" s="24"/>
      <c r="H4" s="24"/>
      <c r="I4" s="24"/>
      <c r="J4" s="24"/>
      <c r="K4" s="24"/>
      <c r="L4" s="24"/>
      <c r="M4" s="24"/>
      <c r="N4" s="24"/>
      <c r="O4" s="24"/>
    </row>
    <row r="5" spans="1:16" ht="18" customHeight="1">
      <c r="A5" s="19" t="s">
        <v>104</v>
      </c>
      <c r="B5" s="147" t="e">
        <f>#REF!</f>
        <v>#REF!</v>
      </c>
      <c r="C5" s="19"/>
      <c r="D5" s="89"/>
      <c r="E5" s="19"/>
      <c r="F5" s="19"/>
      <c r="G5" s="19" t="s">
        <v>57</v>
      </c>
      <c r="H5" s="1419" t="e">
        <f>IF(#REF!="","",#REF!)</f>
        <v>#REF!</v>
      </c>
      <c r="I5" s="1419"/>
      <c r="J5" s="15"/>
      <c r="K5" s="7"/>
      <c r="L5" s="7"/>
      <c r="M5" s="7"/>
      <c r="N5" s="7"/>
      <c r="O5" s="7"/>
    </row>
    <row r="6" spans="1:16" ht="18" customHeight="1">
      <c r="A6" s="19"/>
      <c r="B6" s="19"/>
      <c r="C6" s="19"/>
      <c r="D6" s="19"/>
      <c r="E6" s="19"/>
      <c r="F6" s="19"/>
      <c r="G6" s="19"/>
      <c r="H6" s="19"/>
      <c r="I6" s="15"/>
      <c r="J6" s="15"/>
      <c r="K6" s="7"/>
      <c r="L6" s="7"/>
      <c r="M6" s="7"/>
      <c r="N6" s="7"/>
      <c r="O6" s="7"/>
    </row>
    <row r="7" spans="1:16" ht="18" customHeight="1">
      <c r="D7" s="19"/>
      <c r="E7" s="19"/>
      <c r="F7" s="19"/>
      <c r="G7" s="19" t="s">
        <v>103</v>
      </c>
      <c r="H7" s="1419" t="e">
        <f>IF(#REF!="","",#REF!)</f>
        <v>#REF!</v>
      </c>
      <c r="I7" s="1419"/>
      <c r="J7" s="15"/>
      <c r="K7" s="7"/>
      <c r="L7" s="7"/>
      <c r="M7" s="7"/>
      <c r="N7" s="7"/>
      <c r="O7" s="7"/>
    </row>
    <row r="8" spans="1:16" ht="23">
      <c r="A8" s="21" t="s">
        <v>101</v>
      </c>
      <c r="B8" s="20"/>
      <c r="C8" s="20"/>
      <c r="D8" s="20"/>
      <c r="E8" s="20"/>
      <c r="F8" s="20"/>
      <c r="G8" s="20"/>
      <c r="H8" s="20"/>
      <c r="I8" s="20"/>
      <c r="J8" s="20"/>
      <c r="K8" s="20"/>
      <c r="L8" s="20"/>
      <c r="M8" s="13"/>
      <c r="N8" s="20"/>
      <c r="O8" s="20"/>
    </row>
    <row r="9" spans="1:16" ht="30.5">
      <c r="A9" s="15"/>
      <c r="B9" s="1420" t="s">
        <v>26</v>
      </c>
      <c r="C9" s="1420"/>
      <c r="D9" s="149" t="s">
        <v>27</v>
      </c>
      <c r="E9" s="15"/>
      <c r="F9" s="15"/>
      <c r="G9" s="15"/>
      <c r="H9" s="15"/>
      <c r="I9" s="15"/>
      <c r="J9" s="15"/>
      <c r="K9" s="7"/>
      <c r="L9" s="7"/>
      <c r="M9" s="7"/>
      <c r="N9" s="7"/>
      <c r="O9" s="7"/>
    </row>
    <row r="10" spans="1:16" ht="24" customHeight="1">
      <c r="A10" s="7"/>
      <c r="B10" s="1421"/>
      <c r="C10" s="1421"/>
      <c r="D10" s="22"/>
      <c r="E10" s="7"/>
      <c r="G10" s="17"/>
      <c r="H10" s="17"/>
      <c r="J10" s="7"/>
      <c r="K10" s="7"/>
      <c r="L10" s="7"/>
      <c r="M10" s="7"/>
      <c r="N10" s="7"/>
      <c r="O10" s="7"/>
    </row>
    <row r="11" spans="1:16" ht="23.5" thickBot="1">
      <c r="A11" s="18" t="s">
        <v>48</v>
      </c>
      <c r="B11" s="18"/>
      <c r="C11" s="18"/>
      <c r="D11" s="18"/>
      <c r="E11" s="18"/>
      <c r="F11" s="18"/>
      <c r="G11" s="18"/>
      <c r="H11" s="18"/>
      <c r="I11" s="18"/>
      <c r="J11" s="18"/>
      <c r="K11" s="18"/>
      <c r="L11" s="18"/>
      <c r="M11" s="18"/>
      <c r="N11" s="18"/>
      <c r="O11" s="18"/>
    </row>
    <row r="12" spans="1:16" ht="6.75" customHeight="1">
      <c r="A12" s="4"/>
      <c r="B12" s="5"/>
      <c r="C12" s="5"/>
      <c r="D12" s="5"/>
      <c r="E12" s="5"/>
      <c r="F12" s="5"/>
      <c r="G12" s="5"/>
      <c r="H12" s="5"/>
      <c r="I12" s="5"/>
      <c r="J12" s="5"/>
      <c r="K12" s="5"/>
      <c r="L12" s="5"/>
      <c r="M12" s="5"/>
      <c r="N12" s="5"/>
      <c r="O12" s="5"/>
    </row>
    <row r="13" spans="1:16" ht="21.65" customHeight="1">
      <c r="A13" s="126" t="s">
        <v>299</v>
      </c>
      <c r="B13" s="5"/>
      <c r="C13" s="5"/>
      <c r="D13" s="5"/>
      <c r="E13" s="5"/>
      <c r="F13" s="5"/>
      <c r="G13" s="5"/>
      <c r="H13" s="5"/>
      <c r="I13" s="5"/>
      <c r="J13" s="5"/>
      <c r="K13" s="5"/>
      <c r="L13" s="5"/>
      <c r="M13" s="5"/>
      <c r="N13" s="5"/>
      <c r="O13" s="5"/>
    </row>
    <row r="14" spans="1:16" ht="21.65" customHeight="1">
      <c r="A14" s="126"/>
      <c r="B14" s="5"/>
      <c r="C14" s="5"/>
      <c r="D14" s="5"/>
      <c r="E14" s="5"/>
      <c r="F14" s="5"/>
      <c r="G14" s="5"/>
      <c r="H14" s="5"/>
      <c r="I14" s="5"/>
      <c r="J14" s="5"/>
      <c r="K14" s="5"/>
      <c r="L14" s="5"/>
      <c r="M14" s="5"/>
      <c r="N14" s="5"/>
      <c r="O14" s="5"/>
      <c r="P14" s="5"/>
    </row>
    <row r="15" spans="1:16" ht="33.65" customHeight="1">
      <c r="A15" s="38" t="s">
        <v>334</v>
      </c>
      <c r="E15" s="1211"/>
      <c r="F15" s="1211"/>
      <c r="G15" s="38" t="str">
        <f>IF(OR(E15=""),"",'Air Flow References'!G4)</f>
        <v/>
      </c>
      <c r="L15" s="39" t="s">
        <v>335</v>
      </c>
      <c r="M15" s="1211"/>
      <c r="N15" s="1211"/>
      <c r="O15" s="141" t="str">
        <f>IF(OR(M15=""),"",'Air Flow References'!G6)</f>
        <v/>
      </c>
    </row>
    <row r="16" spans="1:16" ht="33.65" customHeight="1"/>
    <row r="17" spans="1:15" ht="33.65" customHeight="1">
      <c r="A17" s="38" t="s">
        <v>338</v>
      </c>
    </row>
    <row r="18" spans="1:15" ht="33.65" customHeight="1">
      <c r="A18" s="1354" t="s">
        <v>336</v>
      </c>
      <c r="B18" s="1354"/>
      <c r="C18" s="1354"/>
      <c r="D18" s="1354"/>
      <c r="E18" s="1404"/>
      <c r="F18" s="1404"/>
      <c r="G18" s="38" t="str">
        <f>IF(OR(E18=""),"",'Air Flow References'!G5)</f>
        <v/>
      </c>
      <c r="H18" s="41"/>
      <c r="I18" s="142" t="s">
        <v>296</v>
      </c>
      <c r="L18" s="39" t="s">
        <v>337</v>
      </c>
      <c r="M18" s="1211"/>
      <c r="N18" s="1211"/>
      <c r="O18" s="38" t="str">
        <f>IF(OR(M18=""),"",'Air Flow References'!G7)</f>
        <v/>
      </c>
    </row>
    <row r="19" spans="1:15" ht="33.65" customHeight="1"/>
    <row r="20" spans="1:15" ht="33.65" customHeight="1">
      <c r="A20" s="38" t="s">
        <v>348</v>
      </c>
      <c r="E20" s="1422"/>
      <c r="F20" s="1422"/>
    </row>
    <row r="21" spans="1:15" ht="33.65" customHeight="1">
      <c r="F21" s="40"/>
    </row>
    <row r="22" spans="1:15" ht="33.65" customHeight="1">
      <c r="A22" s="38" t="s">
        <v>341</v>
      </c>
      <c r="E22" s="1403"/>
      <c r="F22" s="1403"/>
      <c r="G22" s="38" t="str">
        <f>IF(OR(E22=""),"",'Air Flow References'!G9)</f>
        <v/>
      </c>
      <c r="H22" s="68"/>
      <c r="I22" s="68"/>
      <c r="J22" s="68"/>
      <c r="K22" s="68"/>
    </row>
    <row r="23" spans="1:15" ht="33.65" customHeight="1">
      <c r="A23" s="137" t="s">
        <v>339</v>
      </c>
      <c r="E23" s="140"/>
      <c r="F23" s="140"/>
    </row>
    <row r="24" spans="1:15" ht="33.65" customHeight="1">
      <c r="A24" s="137"/>
      <c r="E24" s="140"/>
      <c r="F24" s="140"/>
    </row>
    <row r="25" spans="1:15" ht="33.65" customHeight="1">
      <c r="A25" s="38" t="s">
        <v>342</v>
      </c>
      <c r="D25" s="46"/>
      <c r="E25" s="1423"/>
      <c r="F25" s="1423"/>
      <c r="G25" s="38" t="str">
        <f>IF(OR(E25=""),"",'Air Flow References'!G8)</f>
        <v/>
      </c>
    </row>
    <row r="26" spans="1:15" ht="33.65" customHeight="1">
      <c r="A26" s="137" t="s">
        <v>343</v>
      </c>
    </row>
    <row r="27" spans="1:15" ht="16.75" customHeight="1"/>
    <row r="28" spans="1:15" ht="16.75" customHeight="1"/>
    <row r="29" spans="1:15">
      <c r="A29" s="1354" t="s">
        <v>44</v>
      </c>
      <c r="B29" s="1354"/>
      <c r="C29" s="1354"/>
      <c r="D29" s="1354"/>
      <c r="E29" s="1354"/>
      <c r="F29" s="1354"/>
      <c r="G29" s="1354"/>
      <c r="H29" s="1354"/>
      <c r="I29" s="1354"/>
      <c r="J29" s="1354"/>
      <c r="K29" s="1354"/>
      <c r="L29" s="1354"/>
      <c r="M29" s="1354"/>
    </row>
    <row r="30" spans="1:15" ht="33.65" customHeight="1">
      <c r="A30" s="38" t="s">
        <v>45</v>
      </c>
      <c r="C30" s="1409"/>
      <c r="D30" s="1409"/>
      <c r="E30" s="1409"/>
      <c r="F30" s="1409"/>
      <c r="G30" s="1409"/>
      <c r="H30" s="1409"/>
      <c r="I30" s="1409"/>
      <c r="J30" s="1409"/>
      <c r="K30" s="1409"/>
      <c r="L30" s="1409"/>
    </row>
    <row r="31" spans="1:15"/>
    <row r="32" spans="1:15">
      <c r="A32" s="41" t="s">
        <v>47</v>
      </c>
    </row>
    <row r="33" spans="1:15">
      <c r="A33" s="38" t="s">
        <v>1514</v>
      </c>
    </row>
    <row r="34" spans="1:15">
      <c r="A34" s="38" t="s">
        <v>46</v>
      </c>
    </row>
    <row r="35" spans="1:15"/>
    <row r="36" spans="1:15"/>
    <row r="37" spans="1:15" ht="23.5" thickBot="1">
      <c r="A37" s="18" t="s">
        <v>178</v>
      </c>
      <c r="B37" s="18"/>
      <c r="C37" s="18"/>
      <c r="D37" s="18"/>
      <c r="E37" s="18"/>
      <c r="F37" s="18"/>
      <c r="G37" s="18"/>
      <c r="H37" s="18"/>
      <c r="I37" s="18"/>
      <c r="J37" s="18"/>
      <c r="K37" s="18"/>
      <c r="L37" s="18"/>
      <c r="M37" s="18"/>
      <c r="N37" s="18"/>
      <c r="O37" s="18"/>
    </row>
    <row r="38" spans="1:15" ht="23">
      <c r="A38" s="4"/>
      <c r="B38" s="4"/>
      <c r="C38" s="4"/>
      <c r="D38" s="4"/>
      <c r="E38" s="4"/>
      <c r="F38" s="4"/>
      <c r="G38" s="4"/>
      <c r="H38" s="4"/>
      <c r="I38" s="4"/>
      <c r="J38" s="4"/>
      <c r="K38" s="4"/>
      <c r="L38" s="4"/>
      <c r="M38" s="4"/>
      <c r="N38" s="4"/>
      <c r="O38" s="4"/>
    </row>
    <row r="39" spans="1:15" ht="23">
      <c r="A39" s="3" t="s">
        <v>73</v>
      </c>
      <c r="B39" s="4"/>
      <c r="C39" s="4"/>
      <c r="D39" s="4"/>
      <c r="E39" s="4"/>
      <c r="F39" s="4"/>
      <c r="G39" s="4"/>
      <c r="H39" s="4"/>
      <c r="I39" s="1424"/>
      <c r="J39" s="1424"/>
      <c r="K39" s="4"/>
      <c r="L39" s="4"/>
      <c r="M39" s="4"/>
    </row>
    <row r="40" spans="1:15" ht="23">
      <c r="A40" s="4"/>
      <c r="B40" s="4"/>
      <c r="C40" s="4"/>
      <c r="D40" s="4"/>
      <c r="E40" s="4"/>
      <c r="F40" s="4"/>
      <c r="G40" s="4"/>
      <c r="H40" s="4"/>
      <c r="I40" s="4"/>
      <c r="J40" s="4"/>
      <c r="K40" s="4"/>
      <c r="L40" s="4"/>
      <c r="M40" s="4"/>
      <c r="N40" s="4"/>
      <c r="O40" s="4"/>
    </row>
    <row r="41" spans="1:15">
      <c r="A41" s="42" t="s">
        <v>164</v>
      </c>
      <c r="B41" s="42"/>
      <c r="C41" s="42"/>
      <c r="D41" s="42"/>
      <c r="E41" s="42"/>
      <c r="F41" s="42"/>
      <c r="G41" s="42"/>
      <c r="H41" s="42"/>
      <c r="I41" s="42"/>
      <c r="J41" s="42"/>
      <c r="K41" s="42"/>
      <c r="L41" s="42"/>
      <c r="M41" s="42"/>
      <c r="N41" s="42"/>
      <c r="O41" s="42"/>
    </row>
    <row r="42" spans="1:15">
      <c r="A42" s="43"/>
      <c r="B42" s="44"/>
      <c r="C42" s="44"/>
      <c r="D42" s="44"/>
      <c r="E42" s="44"/>
      <c r="F42" s="44"/>
      <c r="G42" s="44"/>
      <c r="H42" s="44"/>
      <c r="I42" s="44"/>
      <c r="J42" s="44"/>
      <c r="K42" s="44"/>
      <c r="L42" s="44"/>
      <c r="M42" s="44"/>
      <c r="N42" s="44"/>
    </row>
    <row r="43" spans="1:15">
      <c r="A43" s="48" t="s">
        <v>71</v>
      </c>
    </row>
    <row r="44" spans="1:15">
      <c r="A44" s="45" t="s">
        <v>72</v>
      </c>
    </row>
    <row r="45" spans="1:15">
      <c r="A45" s="45"/>
    </row>
    <row r="46" spans="1:15">
      <c r="A46" s="45"/>
      <c r="E46" s="1417"/>
      <c r="F46" s="1417"/>
    </row>
    <row r="47" spans="1:15">
      <c r="A47" s="45"/>
    </row>
    <row r="48" spans="1:15">
      <c r="A48" s="45"/>
    </row>
    <row r="49" spans="1:7">
      <c r="A49" s="45"/>
      <c r="B49" s="38" t="s">
        <v>86</v>
      </c>
      <c r="E49" s="90"/>
      <c r="F49" s="38" t="s">
        <v>77</v>
      </c>
      <c r="G49" s="38" t="str">
        <f>IF(OR(E49=""),"",'Air Flow References'!G16)</f>
        <v/>
      </c>
    </row>
    <row r="50" spans="1:7">
      <c r="A50" s="45"/>
    </row>
    <row r="51" spans="1:7">
      <c r="A51" s="45"/>
      <c r="B51" s="38" t="s">
        <v>87</v>
      </c>
      <c r="E51" s="90"/>
      <c r="F51" s="50" t="s">
        <v>77</v>
      </c>
      <c r="G51" s="38" t="str">
        <f>IF(OR(E51=""),"",'Air Flow References'!G17)</f>
        <v/>
      </c>
    </row>
    <row r="52" spans="1:7">
      <c r="A52" s="45"/>
    </row>
    <row r="53" spans="1:7">
      <c r="A53" s="48" t="s">
        <v>78</v>
      </c>
    </row>
    <row r="54" spans="1:7">
      <c r="A54" s="48"/>
    </row>
    <row r="55" spans="1:7">
      <c r="A55" s="45" t="s">
        <v>88</v>
      </c>
      <c r="E55" s="90"/>
      <c r="F55" s="38" t="s">
        <v>82</v>
      </c>
      <c r="G55" s="38" t="str">
        <f>IF(OR(E55=""),"",'Air Flow References'!G18)</f>
        <v/>
      </c>
    </row>
    <row r="56" spans="1:7">
      <c r="A56" s="45"/>
    </row>
    <row r="57" spans="1:7">
      <c r="A57" s="45" t="s">
        <v>89</v>
      </c>
      <c r="E57" s="90"/>
      <c r="F57" s="38" t="s">
        <v>77</v>
      </c>
      <c r="G57" s="38" t="str">
        <f>IF(OR(E57=""),"",'Air Flow References'!G19)</f>
        <v/>
      </c>
    </row>
    <row r="58" spans="1:7">
      <c r="A58" s="45"/>
    </row>
    <row r="59" spans="1:7">
      <c r="A59" s="45" t="s">
        <v>90</v>
      </c>
      <c r="E59" s="90"/>
      <c r="F59" s="38" t="s">
        <v>77</v>
      </c>
      <c r="G59" s="38" t="str">
        <f>IF(OR(E59=""),"",'Air Flow References'!G20)</f>
        <v/>
      </c>
    </row>
    <row r="60" spans="1:7">
      <c r="A60" s="45"/>
      <c r="E60" s="46"/>
    </row>
    <row r="61" spans="1:7">
      <c r="A61" s="45" t="s">
        <v>91</v>
      </c>
      <c r="E61" s="92" t="str">
        <f>IF(OR(E57="",E59=""),"",E57-E59)</f>
        <v/>
      </c>
      <c r="F61" s="38" t="s">
        <v>77</v>
      </c>
      <c r="G61" s="38" t="str">
        <f>'Air Flow References'!G21</f>
        <v/>
      </c>
    </row>
    <row r="62" spans="1:7">
      <c r="A62" s="45"/>
    </row>
    <row r="63" spans="1:7">
      <c r="A63" s="51" t="s">
        <v>92</v>
      </c>
    </row>
    <row r="64" spans="1:7">
      <c r="A64" s="45"/>
    </row>
    <row r="65" spans="1:15">
      <c r="A65" s="52" t="s">
        <v>93</v>
      </c>
      <c r="B65" s="53"/>
      <c r="C65" s="53"/>
      <c r="D65" s="53"/>
      <c r="E65" s="53"/>
      <c r="F65" s="53"/>
      <c r="G65" s="53"/>
      <c r="H65" s="53"/>
      <c r="I65" s="53"/>
      <c r="J65" s="53"/>
      <c r="K65" s="53"/>
      <c r="L65" s="53"/>
      <c r="M65" s="53"/>
      <c r="N65" s="53"/>
    </row>
    <row r="66" spans="1:15">
      <c r="A66" s="42" t="s">
        <v>199</v>
      </c>
      <c r="B66" s="42"/>
      <c r="C66" s="42"/>
      <c r="D66" s="42"/>
      <c r="E66" s="42"/>
      <c r="F66" s="42"/>
      <c r="G66" s="42"/>
      <c r="H66" s="42"/>
      <c r="I66" s="42"/>
      <c r="J66" s="42"/>
      <c r="K66" s="42"/>
      <c r="L66" s="42"/>
      <c r="M66" s="42"/>
      <c r="N66" s="42"/>
      <c r="O66" s="42"/>
    </row>
    <row r="67" spans="1:15">
      <c r="A67" s="43"/>
      <c r="B67" s="44"/>
      <c r="C67" s="44"/>
      <c r="D67" s="44"/>
      <c r="E67" s="44"/>
      <c r="F67" s="44"/>
      <c r="G67" s="44"/>
      <c r="H67" s="44"/>
      <c r="I67" s="44"/>
      <c r="J67" s="44"/>
      <c r="K67" s="44"/>
      <c r="L67" s="44"/>
      <c r="M67" s="44"/>
      <c r="N67" s="44"/>
    </row>
    <row r="68" spans="1:15">
      <c r="A68" s="48" t="s">
        <v>71</v>
      </c>
    </row>
    <row r="69" spans="1:15">
      <c r="A69" s="45" t="s">
        <v>72</v>
      </c>
    </row>
    <row r="70" spans="1:15">
      <c r="A70" s="45"/>
    </row>
    <row r="71" spans="1:15">
      <c r="A71" s="45"/>
      <c r="E71" s="1417"/>
      <c r="F71" s="1417"/>
    </row>
    <row r="72" spans="1:15">
      <c r="A72" s="45"/>
    </row>
    <row r="73" spans="1:15">
      <c r="A73" s="45"/>
    </row>
    <row r="74" spans="1:15">
      <c r="A74" s="45"/>
      <c r="B74" s="38" t="s">
        <v>74</v>
      </c>
      <c r="E74" s="90"/>
      <c r="F74" s="38" t="s">
        <v>298</v>
      </c>
      <c r="G74" s="148" t="str">
        <f>IF(OR(E74=""),"",'Air Flow References'!G28)</f>
        <v/>
      </c>
    </row>
    <row r="75" spans="1:15">
      <c r="A75" s="45"/>
      <c r="B75" s="38" t="s">
        <v>297</v>
      </c>
      <c r="E75" s="143"/>
      <c r="G75" s="49"/>
    </row>
    <row r="76" spans="1:15">
      <c r="A76" s="45"/>
    </row>
    <row r="77" spans="1:15">
      <c r="A77" s="45"/>
      <c r="B77" s="38" t="s">
        <v>75</v>
      </c>
      <c r="E77" s="90"/>
      <c r="F77" s="38" t="s">
        <v>77</v>
      </c>
      <c r="G77" s="38" t="str">
        <f>IF(OR(E77=""),"",'Air Flow References'!G29)</f>
        <v/>
      </c>
    </row>
    <row r="78" spans="1:15">
      <c r="A78" s="45"/>
    </row>
    <row r="79" spans="1:15">
      <c r="A79" s="45"/>
      <c r="B79" s="38" t="s">
        <v>76</v>
      </c>
      <c r="E79" s="90"/>
      <c r="F79" s="50" t="s">
        <v>77</v>
      </c>
      <c r="G79" s="38" t="str">
        <f>IF(OR(E79=""),"",'Air Flow References'!G30)</f>
        <v/>
      </c>
    </row>
    <row r="80" spans="1:15">
      <c r="A80" s="45"/>
    </row>
    <row r="81" spans="1:15">
      <c r="A81" s="45"/>
    </row>
    <row r="82" spans="1:15">
      <c r="A82" s="48" t="s">
        <v>78</v>
      </c>
    </row>
    <row r="83" spans="1:15">
      <c r="A83" s="45"/>
    </row>
    <row r="84" spans="1:15">
      <c r="A84" s="45" t="s">
        <v>79</v>
      </c>
      <c r="E84" s="90"/>
      <c r="F84" s="38" t="s">
        <v>82</v>
      </c>
      <c r="G84" s="38" t="str">
        <f>IF(OR(E84=""),"",'Air Flow References'!G31)</f>
        <v/>
      </c>
    </row>
    <row r="85" spans="1:15">
      <c r="A85" s="45"/>
    </row>
    <row r="86" spans="1:15">
      <c r="A86" s="45" t="s">
        <v>80</v>
      </c>
      <c r="E86" s="90"/>
      <c r="F86" s="50" t="s">
        <v>77</v>
      </c>
      <c r="G86" s="38" t="str">
        <f>IF(OR(E86=""),"",'Air Flow References'!G32)</f>
        <v/>
      </c>
    </row>
    <row r="87" spans="1:15">
      <c r="A87" s="45"/>
    </row>
    <row r="88" spans="1:15">
      <c r="A88" s="45" t="s">
        <v>81</v>
      </c>
      <c r="E88" s="90"/>
      <c r="F88" s="50" t="s">
        <v>77</v>
      </c>
      <c r="G88" s="38" t="str">
        <f>IF(OR(E88=""),"",'Air Flow References'!G33)</f>
        <v/>
      </c>
    </row>
    <row r="89" spans="1:15">
      <c r="A89" s="45"/>
    </row>
    <row r="90" spans="1:15">
      <c r="A90" s="45" t="s">
        <v>83</v>
      </c>
      <c r="E90" s="92" t="str">
        <f>IF(OR(E86="",E88=""),"",E88-E86)</f>
        <v/>
      </c>
      <c r="F90" s="50" t="s">
        <v>77</v>
      </c>
      <c r="G90" s="38" t="str">
        <f>'Air Flow References'!G34</f>
        <v/>
      </c>
    </row>
    <row r="91" spans="1:15">
      <c r="A91" s="45"/>
    </row>
    <row r="92" spans="1:15">
      <c r="A92" s="51" t="s">
        <v>84</v>
      </c>
    </row>
    <row r="93" spans="1:15">
      <c r="A93" s="45"/>
    </row>
    <row r="94" spans="1:15">
      <c r="A94" s="41" t="s">
        <v>85</v>
      </c>
    </row>
    <row r="95" spans="1:15">
      <c r="A95" s="42" t="s">
        <v>575</v>
      </c>
      <c r="B95" s="42"/>
      <c r="C95" s="42"/>
      <c r="D95" s="42"/>
      <c r="E95" s="42"/>
      <c r="F95" s="42"/>
      <c r="G95" s="42"/>
      <c r="H95" s="42"/>
      <c r="I95" s="42"/>
      <c r="J95" s="42"/>
      <c r="K95" s="42"/>
      <c r="L95" s="42"/>
      <c r="M95" s="42"/>
      <c r="N95" s="42"/>
      <c r="O95" s="42"/>
    </row>
    <row r="96" spans="1:15">
      <c r="A96" s="43"/>
      <c r="B96" s="44"/>
      <c r="C96" s="44"/>
      <c r="D96" s="44"/>
      <c r="E96" s="44"/>
      <c r="F96" s="44"/>
      <c r="G96" s="44"/>
      <c r="H96" s="44"/>
      <c r="I96" s="44"/>
      <c r="J96" s="44"/>
      <c r="K96" s="44"/>
      <c r="L96" s="44"/>
      <c r="M96" s="44"/>
      <c r="N96" s="44"/>
    </row>
    <row r="97" spans="1:14">
      <c r="A97" s="45" t="s">
        <v>49</v>
      </c>
    </row>
    <row r="98" spans="1:14">
      <c r="A98" s="45"/>
    </row>
    <row r="99" spans="1:14">
      <c r="A99" s="45"/>
      <c r="E99" s="1211"/>
      <c r="F99" s="1211"/>
      <c r="G99" s="38" t="s">
        <v>50</v>
      </c>
    </row>
    <row r="100" spans="1:14">
      <c r="A100" s="1397" t="s">
        <v>1432</v>
      </c>
      <c r="B100" s="1124"/>
    </row>
    <row r="101" spans="1:14">
      <c r="A101" s="1397"/>
      <c r="B101" s="1124"/>
      <c r="C101" s="463"/>
      <c r="D101" s="38" t="s">
        <v>1515</v>
      </c>
      <c r="E101" s="463"/>
      <c r="F101" s="38" t="s">
        <v>1516</v>
      </c>
    </row>
    <row r="102" spans="1:14">
      <c r="A102" s="45"/>
    </row>
    <row r="103" spans="1:14">
      <c r="A103" s="45"/>
    </row>
    <row r="104" spans="1:14">
      <c r="A104" s="45" t="s">
        <v>1517</v>
      </c>
      <c r="E104" s="295"/>
    </row>
    <row r="105" spans="1:14">
      <c r="A105" s="45"/>
    </row>
    <row r="106" spans="1:14">
      <c r="A106" s="45"/>
    </row>
    <row r="107" spans="1:14">
      <c r="A107" s="45" t="s">
        <v>59</v>
      </c>
      <c r="E107" s="295"/>
    </row>
    <row r="108" spans="1:14">
      <c r="A108" s="45"/>
    </row>
    <row r="109" spans="1:14">
      <c r="A109" s="45"/>
    </row>
    <row r="110" spans="1:14">
      <c r="A110" s="45" t="s">
        <v>1433</v>
      </c>
      <c r="C110" s="463"/>
      <c r="D110" s="38" t="s">
        <v>60</v>
      </c>
    </row>
    <row r="111" spans="1:14">
      <c r="A111" s="45"/>
    </row>
    <row r="112" spans="1:14">
      <c r="A112" s="45" t="s">
        <v>61</v>
      </c>
      <c r="D112" s="504"/>
      <c r="E112" s="38" t="s">
        <v>62</v>
      </c>
      <c r="F112" s="38" t="s">
        <v>63</v>
      </c>
      <c r="G112" s="460"/>
      <c r="H112" s="38" t="s">
        <v>60</v>
      </c>
      <c r="I112" s="38" t="s">
        <v>64</v>
      </c>
      <c r="J112" s="434"/>
      <c r="K112" s="38" t="s">
        <v>65</v>
      </c>
      <c r="L112" s="46" t="s">
        <v>66</v>
      </c>
      <c r="M112" s="460"/>
      <c r="N112" s="38" t="s">
        <v>67</v>
      </c>
    </row>
    <row r="113" spans="1:15">
      <c r="A113" s="45"/>
      <c r="L113" s="46"/>
    </row>
    <row r="114" spans="1:15">
      <c r="A114" s="45" t="s">
        <v>142</v>
      </c>
      <c r="D114" s="504"/>
      <c r="E114" s="38" t="s">
        <v>62</v>
      </c>
      <c r="F114" s="38" t="s">
        <v>63</v>
      </c>
      <c r="G114" s="460"/>
      <c r="H114" s="38" t="s">
        <v>60</v>
      </c>
      <c r="I114" s="38" t="s">
        <v>64</v>
      </c>
      <c r="J114" s="434"/>
      <c r="K114" s="38" t="s">
        <v>65</v>
      </c>
      <c r="L114" s="46" t="s">
        <v>66</v>
      </c>
      <c r="M114" s="460"/>
      <c r="N114" s="38" t="s">
        <v>67</v>
      </c>
    </row>
    <row r="115" spans="1:15">
      <c r="A115" s="45"/>
    </row>
    <row r="116" spans="1:15">
      <c r="A116" s="47" t="s">
        <v>190</v>
      </c>
      <c r="M116" s="460"/>
      <c r="N116" s="38" t="s">
        <v>67</v>
      </c>
    </row>
    <row r="117" spans="1:15">
      <c r="A117" s="45"/>
    </row>
    <row r="118" spans="1:15">
      <c r="A118" s="1401" t="s">
        <v>68</v>
      </c>
      <c r="B118" s="1399"/>
      <c r="C118" s="1399"/>
      <c r="D118" s="1399"/>
      <c r="E118" s="1402"/>
      <c r="F118" s="1398" t="s">
        <v>69</v>
      </c>
      <c r="G118" s="1398"/>
      <c r="H118" s="1398"/>
      <c r="I118" s="1398"/>
      <c r="J118" s="1398"/>
      <c r="K118" s="1398"/>
      <c r="L118" s="139"/>
      <c r="M118" s="1413" t="str">
        <f>IF(AND(M112="",M114="",M116=""),"",M112+M114+M116)</f>
        <v/>
      </c>
      <c r="N118" s="1399" t="s">
        <v>67</v>
      </c>
    </row>
    <row r="119" spans="1:15">
      <c r="A119" s="1401"/>
      <c r="B119" s="1399"/>
      <c r="C119" s="1399"/>
      <c r="D119" s="1399"/>
      <c r="E119" s="1402"/>
      <c r="F119" s="1398"/>
      <c r="G119" s="1398"/>
      <c r="H119" s="1398"/>
      <c r="I119" s="1398"/>
      <c r="J119" s="1398"/>
      <c r="K119" s="1398"/>
      <c r="L119" s="139"/>
      <c r="M119" s="1414"/>
      <c r="N119" s="1399"/>
    </row>
    <row r="120" spans="1:15">
      <c r="A120" s="45"/>
    </row>
    <row r="121" spans="1:15">
      <c r="A121" s="41" t="s">
        <v>70</v>
      </c>
    </row>
    <row r="122" spans="1:15"/>
    <row r="123" spans="1:15"/>
    <row r="124" spans="1:15"/>
    <row r="125" spans="1:15">
      <c r="A125" s="57" t="s">
        <v>165</v>
      </c>
      <c r="B125" s="61"/>
      <c r="C125" s="58" t="str">
        <f>Development!$A$4&amp;"_"&amp;Development!$A$2</f>
        <v>01.01.2025_1.0</v>
      </c>
      <c r="D125" s="1415"/>
      <c r="E125" s="1415"/>
      <c r="F125" s="1415"/>
      <c r="G125" s="1416"/>
      <c r="H125" s="1416"/>
      <c r="I125" s="1416"/>
      <c r="J125" s="44"/>
      <c r="K125" s="44"/>
      <c r="L125" s="44"/>
      <c r="M125" s="44"/>
      <c r="N125" s="60" t="s">
        <v>167</v>
      </c>
      <c r="O125" s="59" t="str">
        <f>Development!$A$4</f>
        <v>01.01.2025</v>
      </c>
    </row>
    <row r="126" spans="1:15"/>
    <row r="127" spans="1:15"/>
    <row r="128" spans="1:15"/>
    <row r="129"/>
    <row r="130"/>
    <row r="131"/>
    <row r="132"/>
    <row r="133"/>
    <row r="134"/>
    <row r="135"/>
    <row r="136"/>
    <row r="137"/>
    <row r="138"/>
    <row r="139"/>
    <row r="140"/>
    <row r="141"/>
    <row r="142"/>
    <row r="143"/>
    <row r="144"/>
    <row r="145" spans="15:15">
      <c r="O145" s="54"/>
    </row>
    <row r="157" spans="15:15"/>
    <row r="158" spans="15:15"/>
    <row r="159" spans="15:15"/>
    <row r="160" spans="15:15"/>
    <row r="161"/>
    <row r="162"/>
    <row r="163"/>
    <row r="164"/>
    <row r="165"/>
    <row r="166"/>
    <row r="167"/>
    <row r="168" ht="14.5" customHeight="1"/>
    <row r="169" ht="14.5" customHeight="1"/>
    <row r="170" ht="14.5" customHeight="1"/>
    <row r="171" ht="14.5" customHeight="1"/>
    <row r="172" ht="14.5" customHeight="1"/>
    <row r="173" ht="14.5" customHeight="1"/>
    <row r="174" ht="14.5" customHeight="1"/>
    <row r="175" ht="14.5" customHeight="1"/>
    <row r="176" ht="14.5" customHeight="1"/>
    <row r="177" ht="14.5" customHeight="1"/>
    <row r="178" ht="14.5" customHeight="1"/>
    <row r="179" ht="14.5" customHeight="1"/>
    <row r="180" ht="14.5" customHeight="1"/>
    <row r="181" ht="14.5" customHeight="1"/>
    <row r="182" ht="14.5" customHeight="1"/>
    <row r="183" ht="14.5" customHeight="1"/>
    <row r="184" ht="14.5" customHeight="1"/>
    <row r="185" ht="14.5" customHeight="1"/>
    <row r="186" ht="14.5" customHeight="1"/>
    <row r="187" ht="14.5" customHeight="1"/>
    <row r="188" ht="14.5" customHeight="1"/>
    <row r="189" ht="14.5" customHeight="1"/>
    <row r="190" ht="14.5" customHeight="1"/>
    <row r="191" ht="14.5" customHeight="1"/>
    <row r="192" ht="14.5" customHeight="1"/>
    <row r="193" ht="14.5" customHeight="1"/>
    <row r="194" ht="14.5" customHeight="1"/>
    <row r="195" ht="14.5" customHeight="1"/>
    <row r="196" ht="14.5" customHeight="1"/>
    <row r="197" ht="14.5" customHeight="1"/>
    <row r="198" ht="14.5" customHeight="1"/>
    <row r="199" ht="14.5" customHeight="1"/>
    <row r="200" ht="14.5" customHeight="1"/>
    <row r="201" ht="14.5" customHeight="1"/>
    <row r="202" ht="14.5" customHeight="1"/>
    <row r="203" ht="14.5" customHeight="1"/>
    <row r="204" ht="14.5" customHeight="1"/>
    <row r="205" ht="14.5" customHeight="1"/>
    <row r="206" ht="14.5" customHeight="1"/>
    <row r="207" ht="14.5" customHeight="1"/>
  </sheetData>
  <sheetProtection algorithmName="SHA-512" hashValue="n48zcTBYY63mOE7oTqxkA8muYXqsRXjV/pI7XecKCZ0zq7CyYEqUjPBevu/4798AXjtgdnoCcfe/blJG9nykmA==" saltValue="0HmSa8NvaVBvFq2E6ujwIQ==" spinCount="100000" sheet="1" objects="1" scenarios="1"/>
  <mergeCells count="27">
    <mergeCell ref="C30:L30"/>
    <mergeCell ref="E22:F22"/>
    <mergeCell ref="E46:F46"/>
    <mergeCell ref="M18:N18"/>
    <mergeCell ref="E18:F18"/>
    <mergeCell ref="E20:F20"/>
    <mergeCell ref="E25:F25"/>
    <mergeCell ref="A29:M29"/>
    <mergeCell ref="I39:J39"/>
    <mergeCell ref="A1:J1"/>
    <mergeCell ref="A2:J2"/>
    <mergeCell ref="E15:F15"/>
    <mergeCell ref="M15:N15"/>
    <mergeCell ref="A18:D18"/>
    <mergeCell ref="H5:I5"/>
    <mergeCell ref="H7:I7"/>
    <mergeCell ref="B9:C9"/>
    <mergeCell ref="B10:C10"/>
    <mergeCell ref="M118:M119"/>
    <mergeCell ref="N118:N119"/>
    <mergeCell ref="D125:F125"/>
    <mergeCell ref="G125:I125"/>
    <mergeCell ref="E71:F71"/>
    <mergeCell ref="E99:F99"/>
    <mergeCell ref="A118:E119"/>
    <mergeCell ref="F118:K119"/>
    <mergeCell ref="A100:B101"/>
  </mergeCells>
  <dataValidations count="1">
    <dataValidation type="list" allowBlank="1" showInputMessage="1" showErrorMessage="1" sqref="E20:F20" xr:uid="{00000000-0002-0000-0F00-000000000000}">
      <formula1>True_Flow_CFM_Measured</formula1>
    </dataValidation>
  </dataValidations>
  <pageMargins left="0.25" right="0.25" top="0.75" bottom="0.75" header="0.3" footer="0.3"/>
  <pageSetup scale="56" fitToHeight="4" orientation="portrait" r:id="rId1"/>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drawing r:id="rId2"/>
  <legacyDrawing r:id="rId3"/>
  <controls>
    <mc:AlternateContent xmlns:mc="http://schemas.openxmlformats.org/markup-compatibility/2006">
      <mc:Choice Requires="x14">
        <control shapeId="17956" r:id="rId4" name="CommandButton1">
          <controlPr defaultSize="0" autoLine="0" autoPict="0" r:id="rId5">
            <anchor moveWithCells="1">
              <from>
                <xdr:col>11</xdr:col>
                <xdr:colOff>495300</xdr:colOff>
                <xdr:row>120</xdr:row>
                <xdr:rowOff>88900</xdr:rowOff>
              </from>
              <to>
                <xdr:col>14</xdr:col>
                <xdr:colOff>793750</xdr:colOff>
                <xdr:row>123</xdr:row>
                <xdr:rowOff>76200</xdr:rowOff>
              </to>
            </anchor>
          </controlPr>
        </control>
      </mc:Choice>
      <mc:Fallback>
        <control shapeId="17956" r:id="rId4" name="CommandButton1"/>
      </mc:Fallback>
    </mc:AlternateContent>
    <mc:AlternateContent xmlns:mc="http://schemas.openxmlformats.org/markup-compatibility/2006">
      <mc:Choice Requires="x14">
        <control shapeId="17435" r:id="rId6" name="OptionButton10">
          <controlPr defaultSize="0" autoLine="0" r:id="rId7">
            <anchor moveWithCells="1">
              <from>
                <xdr:col>1</xdr:col>
                <xdr:colOff>95250</xdr:colOff>
                <xdr:row>45</xdr:row>
                <xdr:rowOff>0</xdr:rowOff>
              </from>
              <to>
                <xdr:col>1</xdr:col>
                <xdr:colOff>742950</xdr:colOff>
                <xdr:row>46</xdr:row>
                <xdr:rowOff>88900</xdr:rowOff>
              </to>
            </anchor>
          </controlPr>
        </control>
      </mc:Choice>
      <mc:Fallback>
        <control shapeId="17435" r:id="rId6" name="OptionButton10"/>
      </mc:Fallback>
    </mc:AlternateContent>
    <mc:AlternateContent xmlns:mc="http://schemas.openxmlformats.org/markup-compatibility/2006">
      <mc:Choice Requires="x14">
        <control shapeId="17426" r:id="rId8" name="OptionButton7">
          <controlPr defaultSize="0" autoLine="0" r:id="rId9">
            <anchor moveWithCells="1">
              <from>
                <xdr:col>1</xdr:col>
                <xdr:colOff>266700</xdr:colOff>
                <xdr:row>70</xdr:row>
                <xdr:rowOff>0</xdr:rowOff>
              </from>
              <to>
                <xdr:col>2</xdr:col>
                <xdr:colOff>133350</xdr:colOff>
                <xdr:row>71</xdr:row>
                <xdr:rowOff>88900</xdr:rowOff>
              </to>
            </anchor>
          </controlPr>
        </control>
      </mc:Choice>
      <mc:Fallback>
        <control shapeId="17426" r:id="rId8" name="OptionButton7"/>
      </mc:Fallback>
    </mc:AlternateContent>
    <mc:AlternateContent xmlns:mc="http://schemas.openxmlformats.org/markup-compatibility/2006">
      <mc:Choice Requires="x14">
        <control shapeId="17410" r:id="rId10" name="OptionButton2">
          <controlPr defaultSize="0" autoLine="0" r:id="rId11">
            <anchor moveWithCells="1">
              <from>
                <xdr:col>6</xdr:col>
                <xdr:colOff>0</xdr:colOff>
                <xdr:row>19</xdr:row>
                <xdr:rowOff>12700</xdr:rowOff>
              </from>
              <to>
                <xdr:col>12</xdr:col>
                <xdr:colOff>266700</xdr:colOff>
                <xdr:row>20</xdr:row>
                <xdr:rowOff>298450</xdr:rowOff>
              </to>
            </anchor>
          </controlPr>
        </control>
      </mc:Choice>
      <mc:Fallback>
        <control shapeId="17410" r:id="rId10" name="OptionButton2"/>
      </mc:Fallback>
    </mc:AlternateContent>
    <mc:AlternateContent xmlns:mc="http://schemas.openxmlformats.org/markup-compatibility/2006">
      <mc:Choice Requires="x14">
        <control shapeId="17409" r:id="rId12" name="OptionButton1">
          <controlPr defaultSize="0" autoLine="0" autoPict="0" r:id="rId13">
            <anchor moveWithCells="1">
              <from>
                <xdr:col>2</xdr:col>
                <xdr:colOff>869950</xdr:colOff>
                <xdr:row>19</xdr:row>
                <xdr:rowOff>12700</xdr:rowOff>
              </from>
              <to>
                <xdr:col>6</xdr:col>
                <xdr:colOff>412750</xdr:colOff>
                <xdr:row>20</xdr:row>
                <xdr:rowOff>336550</xdr:rowOff>
              </to>
            </anchor>
          </controlPr>
        </control>
      </mc:Choice>
      <mc:Fallback>
        <control shapeId="17409" r:id="rId12" name="OptionButton1"/>
      </mc:Fallback>
    </mc:AlternateContent>
    <mc:AlternateContent xmlns:mc="http://schemas.openxmlformats.org/markup-compatibility/2006">
      <mc:Choice Requires="x14">
        <control shapeId="17411" r:id="rId14" name="Group Box 3">
          <controlPr defaultSize="0" autoFill="0" autoPict="0">
            <anchor moveWithCells="1">
              <from>
                <xdr:col>0</xdr:col>
                <xdr:colOff>12700</xdr:colOff>
                <xdr:row>21</xdr:row>
                <xdr:rowOff>0</xdr:rowOff>
              </from>
              <to>
                <xdr:col>7</xdr:col>
                <xdr:colOff>76200</xdr:colOff>
                <xdr:row>22</xdr:row>
                <xdr:rowOff>298450</xdr:rowOff>
              </to>
            </anchor>
          </controlPr>
        </control>
      </mc:Choice>
    </mc:AlternateContent>
    <mc:AlternateContent xmlns:mc="http://schemas.openxmlformats.org/markup-compatibility/2006">
      <mc:Choice Requires="x14">
        <control shapeId="17412" r:id="rId15" name="Check Box 4">
          <controlPr defaultSize="0" autoFill="0" autoLine="0" autoPict="0">
            <anchor moveWithCells="1">
              <from>
                <xdr:col>7</xdr:col>
                <xdr:colOff>533400</xdr:colOff>
                <xdr:row>21</xdr:row>
                <xdr:rowOff>165100</xdr:rowOff>
              </from>
              <to>
                <xdr:col>9</xdr:col>
                <xdr:colOff>50800</xdr:colOff>
                <xdr:row>21</xdr:row>
                <xdr:rowOff>469900</xdr:rowOff>
              </to>
            </anchor>
          </controlPr>
        </control>
      </mc:Choice>
    </mc:AlternateContent>
    <mc:AlternateContent xmlns:mc="http://schemas.openxmlformats.org/markup-compatibility/2006">
      <mc:Choice Requires="x14">
        <control shapeId="17413" r:id="rId16" name="Check Box 5">
          <controlPr defaultSize="0" autoFill="0" autoLine="0" autoPict="0">
            <anchor moveWithCells="1">
              <from>
                <xdr:col>9</xdr:col>
                <xdr:colOff>419100</xdr:colOff>
                <xdr:row>21</xdr:row>
                <xdr:rowOff>165100</xdr:rowOff>
              </from>
              <to>
                <xdr:col>10</xdr:col>
                <xdr:colOff>990600</xdr:colOff>
                <xdr:row>21</xdr:row>
                <xdr:rowOff>488950</xdr:rowOff>
              </to>
            </anchor>
          </controlPr>
        </control>
      </mc:Choice>
    </mc:AlternateContent>
    <mc:AlternateContent xmlns:mc="http://schemas.openxmlformats.org/markup-compatibility/2006">
      <mc:Choice Requires="x14">
        <control shapeId="17417" r:id="rId17" name="Contractor_Lookup">
          <controlPr defaultSize="0" autoFill="0" autoPict="0">
            <anchor moveWithCells="1">
              <from>
                <xdr:col>0</xdr:col>
                <xdr:colOff>50800</xdr:colOff>
                <xdr:row>65</xdr:row>
                <xdr:rowOff>0</xdr:rowOff>
              </from>
              <to>
                <xdr:col>4</xdr:col>
                <xdr:colOff>260350</xdr:colOff>
                <xdr:row>69</xdr:row>
                <xdr:rowOff>152400</xdr:rowOff>
              </to>
            </anchor>
          </controlPr>
        </control>
      </mc:Choice>
    </mc:AlternateContent>
    <mc:AlternateContent xmlns:mc="http://schemas.openxmlformats.org/markup-compatibility/2006">
      <mc:Choice Requires="x14">
        <control shapeId="17418" r:id="rId18" name="Option Button 10">
          <controlPr defaultSize="0" autoFill="0" autoLine="0" autoPict="0">
            <anchor moveWithCells="1">
              <from>
                <xdr:col>4</xdr:col>
                <xdr:colOff>419100</xdr:colOff>
                <xdr:row>65</xdr:row>
                <xdr:rowOff>0</xdr:rowOff>
              </from>
              <to>
                <xdr:col>5</xdr:col>
                <xdr:colOff>50800</xdr:colOff>
                <xdr:row>66</xdr:row>
                <xdr:rowOff>50800</xdr:rowOff>
              </to>
            </anchor>
          </controlPr>
        </control>
      </mc:Choice>
    </mc:AlternateContent>
    <mc:AlternateContent xmlns:mc="http://schemas.openxmlformats.org/markup-compatibility/2006">
      <mc:Choice Requires="x14">
        <control shapeId="17419" r:id="rId19" name="Option Button 11">
          <controlPr defaultSize="0" autoFill="0" autoLine="0" autoPict="0">
            <anchor moveWithCells="1">
              <from>
                <xdr:col>5</xdr:col>
                <xdr:colOff>571500</xdr:colOff>
                <xdr:row>65</xdr:row>
                <xdr:rowOff>0</xdr:rowOff>
              </from>
              <to>
                <xdr:col>6</xdr:col>
                <xdr:colOff>0</xdr:colOff>
                <xdr:row>66</xdr:row>
                <xdr:rowOff>0</xdr:rowOff>
              </to>
            </anchor>
          </controlPr>
        </control>
      </mc:Choice>
    </mc:AlternateContent>
    <mc:AlternateContent xmlns:mc="http://schemas.openxmlformats.org/markup-compatibility/2006">
      <mc:Choice Requires="x14">
        <control shapeId="17420" r:id="rId20" name="Group Box 12">
          <controlPr defaultSize="0" autoFill="0" autoPict="0">
            <anchor moveWithCells="1">
              <from>
                <xdr:col>4</xdr:col>
                <xdr:colOff>361950</xdr:colOff>
                <xdr:row>65</xdr:row>
                <xdr:rowOff>0</xdr:rowOff>
              </from>
              <to>
                <xdr:col>6</xdr:col>
                <xdr:colOff>533400</xdr:colOff>
                <xdr:row>67</xdr:row>
                <xdr:rowOff>152400</xdr:rowOff>
              </to>
            </anchor>
          </controlPr>
        </control>
      </mc:Choice>
    </mc:AlternateContent>
    <mc:AlternateContent xmlns:mc="http://schemas.openxmlformats.org/markup-compatibility/2006">
      <mc:Choice Requires="x14">
        <control shapeId="17421" r:id="rId21" name="Group Box 13">
          <controlPr defaultSize="0" autoFill="0" autoPict="0">
            <anchor moveWithCells="1">
              <from>
                <xdr:col>0</xdr:col>
                <xdr:colOff>374650</xdr:colOff>
                <xdr:row>65</xdr:row>
                <xdr:rowOff>0</xdr:rowOff>
              </from>
              <to>
                <xdr:col>4</xdr:col>
                <xdr:colOff>260350</xdr:colOff>
                <xdr:row>68</xdr:row>
                <xdr:rowOff>165100</xdr:rowOff>
              </to>
            </anchor>
          </controlPr>
        </control>
      </mc:Choice>
    </mc:AlternateContent>
    <mc:AlternateContent xmlns:mc="http://schemas.openxmlformats.org/markup-compatibility/2006">
      <mc:Choice Requires="x14">
        <control shapeId="17422" r:id="rId22" name="Option Button 14">
          <controlPr defaultSize="0" autoFill="0" autoLine="0" autoPict="0">
            <anchor moveWithCells="1">
              <from>
                <xdr:col>4</xdr:col>
                <xdr:colOff>419100</xdr:colOff>
                <xdr:row>65</xdr:row>
                <xdr:rowOff>0</xdr:rowOff>
              </from>
              <to>
                <xdr:col>5</xdr:col>
                <xdr:colOff>50800</xdr:colOff>
                <xdr:row>66</xdr:row>
                <xdr:rowOff>50800</xdr:rowOff>
              </to>
            </anchor>
          </controlPr>
        </control>
      </mc:Choice>
    </mc:AlternateContent>
    <mc:AlternateContent xmlns:mc="http://schemas.openxmlformats.org/markup-compatibility/2006">
      <mc:Choice Requires="x14">
        <control shapeId="17423" r:id="rId23" name="Option Button 15">
          <controlPr defaultSize="0" autoFill="0" autoLine="0" autoPict="0">
            <anchor moveWithCells="1">
              <from>
                <xdr:col>5</xdr:col>
                <xdr:colOff>571500</xdr:colOff>
                <xdr:row>65</xdr:row>
                <xdr:rowOff>0</xdr:rowOff>
              </from>
              <to>
                <xdr:col>6</xdr:col>
                <xdr:colOff>0</xdr:colOff>
                <xdr:row>66</xdr:row>
                <xdr:rowOff>0</xdr:rowOff>
              </to>
            </anchor>
          </controlPr>
        </control>
      </mc:Choice>
    </mc:AlternateContent>
    <mc:AlternateContent xmlns:mc="http://schemas.openxmlformats.org/markup-compatibility/2006">
      <mc:Choice Requires="x14">
        <control shapeId="17424" r:id="rId24" name="Group Box 16">
          <controlPr defaultSize="0" autoFill="0" autoPict="0">
            <anchor moveWithCells="1">
              <from>
                <xdr:col>4</xdr:col>
                <xdr:colOff>266700</xdr:colOff>
                <xdr:row>65</xdr:row>
                <xdr:rowOff>0</xdr:rowOff>
              </from>
              <to>
                <xdr:col>6</xdr:col>
                <xdr:colOff>323850</xdr:colOff>
                <xdr:row>67</xdr:row>
                <xdr:rowOff>152400</xdr:rowOff>
              </to>
            </anchor>
          </controlPr>
        </control>
      </mc:Choice>
    </mc:AlternateContent>
    <mc:AlternateContent xmlns:mc="http://schemas.openxmlformats.org/markup-compatibility/2006">
      <mc:Choice Requires="x14">
        <control shapeId="17428" r:id="rId25" name="Group Box 20">
          <controlPr defaultSize="0" autoFill="0" autoPict="0">
            <anchor moveWithCells="1">
              <from>
                <xdr:col>0</xdr:col>
                <xdr:colOff>317500</xdr:colOff>
                <xdr:row>68</xdr:row>
                <xdr:rowOff>209550</xdr:rowOff>
              </from>
              <to>
                <xdr:col>4</xdr:col>
                <xdr:colOff>260350</xdr:colOff>
                <xdr:row>72</xdr:row>
                <xdr:rowOff>12700</xdr:rowOff>
              </to>
            </anchor>
          </controlPr>
        </control>
      </mc:Choice>
    </mc:AlternateContent>
    <mc:AlternateContent xmlns:mc="http://schemas.openxmlformats.org/markup-compatibility/2006">
      <mc:Choice Requires="x14">
        <control shapeId="17429" r:id="rId26" name="Option Button 21">
          <controlPr defaultSize="0" autoFill="0" autoLine="0" autoPict="0">
            <anchor moveWithCells="1">
              <from>
                <xdr:col>2</xdr:col>
                <xdr:colOff>889000</xdr:colOff>
                <xdr:row>38</xdr:row>
                <xdr:rowOff>127000</xdr:rowOff>
              </from>
              <to>
                <xdr:col>3</xdr:col>
                <xdr:colOff>889000</xdr:colOff>
                <xdr:row>39</xdr:row>
                <xdr:rowOff>127000</xdr:rowOff>
              </to>
            </anchor>
          </controlPr>
        </control>
      </mc:Choice>
    </mc:AlternateContent>
    <mc:AlternateContent xmlns:mc="http://schemas.openxmlformats.org/markup-compatibility/2006">
      <mc:Choice Requires="x14">
        <control shapeId="17430" r:id="rId27" name="Option Button 22">
          <controlPr defaultSize="0" autoFill="0" autoLine="0" autoPict="0">
            <anchor moveWithCells="1">
              <from>
                <xdr:col>2</xdr:col>
                <xdr:colOff>1155700</xdr:colOff>
                <xdr:row>38</xdr:row>
                <xdr:rowOff>12700</xdr:rowOff>
              </from>
              <to>
                <xdr:col>4</xdr:col>
                <xdr:colOff>355600</xdr:colOff>
                <xdr:row>39</xdr:row>
                <xdr:rowOff>12700</xdr:rowOff>
              </to>
            </anchor>
          </controlPr>
        </control>
      </mc:Choice>
    </mc:AlternateContent>
    <mc:AlternateContent xmlns:mc="http://schemas.openxmlformats.org/markup-compatibility/2006">
      <mc:Choice Requires="x14">
        <control shapeId="17431" r:id="rId28" name="Option Button 23">
          <controlPr defaultSize="0" autoFill="0" autoLine="0" autoPict="0">
            <anchor moveWithCells="1">
              <from>
                <xdr:col>4</xdr:col>
                <xdr:colOff>260350</xdr:colOff>
                <xdr:row>38</xdr:row>
                <xdr:rowOff>12700</xdr:rowOff>
              </from>
              <to>
                <xdr:col>5</xdr:col>
                <xdr:colOff>641350</xdr:colOff>
                <xdr:row>39</xdr:row>
                <xdr:rowOff>12700</xdr:rowOff>
              </to>
            </anchor>
          </controlPr>
        </control>
      </mc:Choice>
    </mc:AlternateContent>
    <mc:AlternateContent xmlns:mc="http://schemas.openxmlformats.org/markup-compatibility/2006">
      <mc:Choice Requires="x14">
        <control shapeId="17433" r:id="rId29" name="Group Box 25">
          <controlPr defaultSize="0" autoFill="0" autoPict="0">
            <anchor moveWithCells="1">
              <from>
                <xdr:col>2</xdr:col>
                <xdr:colOff>533400</xdr:colOff>
                <xdr:row>37</xdr:row>
                <xdr:rowOff>266700</xdr:rowOff>
              </from>
              <to>
                <xdr:col>14</xdr:col>
                <xdr:colOff>927100</xdr:colOff>
                <xdr:row>40</xdr:row>
                <xdr:rowOff>50800</xdr:rowOff>
              </to>
            </anchor>
          </controlPr>
        </control>
      </mc:Choice>
    </mc:AlternateContent>
    <mc:AlternateContent xmlns:mc="http://schemas.openxmlformats.org/markup-compatibility/2006">
      <mc:Choice Requires="x14">
        <control shapeId="17437" r:id="rId30" name="Group Box 29">
          <controlPr defaultSize="0" autoFill="0" autoPict="0">
            <anchor moveWithCells="1">
              <from>
                <xdr:col>0</xdr:col>
                <xdr:colOff>571500</xdr:colOff>
                <xdr:row>122</xdr:row>
                <xdr:rowOff>209550</xdr:rowOff>
              </from>
              <to>
                <xdr:col>4</xdr:col>
                <xdr:colOff>260350</xdr:colOff>
                <xdr:row>130</xdr:row>
                <xdr:rowOff>12700</xdr:rowOff>
              </to>
            </anchor>
          </controlPr>
        </control>
      </mc:Choice>
    </mc:AlternateContent>
    <mc:AlternateContent xmlns:mc="http://schemas.openxmlformats.org/markup-compatibility/2006">
      <mc:Choice Requires="x14">
        <control shapeId="59785" r:id="rId31" name="Option Button 1417">
          <controlPr defaultSize="0" autoFill="0" autoLine="0" autoPict="0">
            <anchor moveWithCells="1">
              <from>
                <xdr:col>0</xdr:col>
                <xdr:colOff>431800</xdr:colOff>
                <xdr:row>65</xdr:row>
                <xdr:rowOff>0</xdr:rowOff>
              </from>
              <to>
                <xdr:col>1</xdr:col>
                <xdr:colOff>495300</xdr:colOff>
                <xdr:row>66</xdr:row>
                <xdr:rowOff>12700</xdr:rowOff>
              </to>
            </anchor>
          </controlPr>
        </control>
      </mc:Choice>
    </mc:AlternateContent>
    <mc:AlternateContent xmlns:mc="http://schemas.openxmlformats.org/markup-compatibility/2006">
      <mc:Choice Requires="x14">
        <control shapeId="59786" r:id="rId32" name="Option Button 1418">
          <controlPr defaultSize="0" autoFill="0" autoLine="0" autoPict="0">
            <anchor moveWithCells="1">
              <from>
                <xdr:col>1</xdr:col>
                <xdr:colOff>742950</xdr:colOff>
                <xdr:row>65</xdr:row>
                <xdr:rowOff>0</xdr:rowOff>
              </from>
              <to>
                <xdr:col>3</xdr:col>
                <xdr:colOff>241300</xdr:colOff>
                <xdr:row>66</xdr:row>
                <xdr:rowOff>12700</xdr:rowOff>
              </to>
            </anchor>
          </controlPr>
        </control>
      </mc:Choice>
    </mc:AlternateContent>
    <mc:AlternateContent xmlns:mc="http://schemas.openxmlformats.org/markup-compatibility/2006">
      <mc:Choice Requires="x14">
        <control shapeId="59787" r:id="rId33" name="Option Button 1419">
          <controlPr defaultSize="0" autoFill="0" autoLine="0" autoPict="0">
            <anchor moveWithCells="1">
              <from>
                <xdr:col>3</xdr:col>
                <xdr:colOff>57150</xdr:colOff>
                <xdr:row>65</xdr:row>
                <xdr:rowOff>0</xdr:rowOff>
              </from>
              <to>
                <xdr:col>4</xdr:col>
                <xdr:colOff>190500</xdr:colOff>
                <xdr:row>66</xdr:row>
                <xdr:rowOff>88900</xdr:rowOff>
              </to>
            </anchor>
          </controlPr>
        </control>
      </mc:Choice>
    </mc:AlternateContent>
    <mc:AlternateContent xmlns:mc="http://schemas.openxmlformats.org/markup-compatibility/2006">
      <mc:Choice Requires="x14">
        <control shapeId="59856" r:id="rId34" name="Check Box 1488">
          <controlPr defaultSize="0" autoFill="0" autoLine="0" autoPict="0">
            <anchor moveWithCells="1">
              <from>
                <xdr:col>1</xdr:col>
                <xdr:colOff>50800</xdr:colOff>
                <xdr:row>9</xdr:row>
                <xdr:rowOff>12700</xdr:rowOff>
              </from>
              <to>
                <xdr:col>1</xdr:col>
                <xdr:colOff>393700</xdr:colOff>
                <xdr:row>9</xdr:row>
                <xdr:rowOff>228600</xdr:rowOff>
              </to>
            </anchor>
          </controlPr>
        </control>
      </mc:Choice>
    </mc:AlternateContent>
    <mc:AlternateContent xmlns:mc="http://schemas.openxmlformats.org/markup-compatibility/2006">
      <mc:Choice Requires="x14">
        <control shapeId="59857" r:id="rId35" name="Check Box 1489">
          <controlPr defaultSize="0" autoFill="0" autoLine="0" autoPict="0">
            <anchor moveWithCells="1">
              <from>
                <xdr:col>1</xdr:col>
                <xdr:colOff>450850</xdr:colOff>
                <xdr:row>9</xdr:row>
                <xdr:rowOff>88900</xdr:rowOff>
              </from>
              <to>
                <xdr:col>2</xdr:col>
                <xdr:colOff>698500</xdr:colOff>
                <xdr:row>9</xdr:row>
                <xdr:rowOff>184150</xdr:rowOff>
              </to>
            </anchor>
          </controlPr>
        </control>
      </mc:Choice>
    </mc:AlternateContent>
    <mc:AlternateContent xmlns:mc="http://schemas.openxmlformats.org/markup-compatibility/2006">
      <mc:Choice Requires="x14">
        <control shapeId="59858" r:id="rId36" name="Check Box 1490">
          <controlPr defaultSize="0" autoFill="0" autoLine="0" autoPict="0">
            <anchor moveWithCells="1">
              <from>
                <xdr:col>3</xdr:col>
                <xdr:colOff>95250</xdr:colOff>
                <xdr:row>9</xdr:row>
                <xdr:rowOff>88900</xdr:rowOff>
              </from>
              <to>
                <xdr:col>3</xdr:col>
                <xdr:colOff>679450</xdr:colOff>
                <xdr:row>9</xdr:row>
                <xdr:rowOff>184150</xdr:rowOff>
              </to>
            </anchor>
          </controlPr>
        </control>
      </mc:Choice>
    </mc:AlternateContent>
    <mc:AlternateContent xmlns:mc="http://schemas.openxmlformats.org/markup-compatibility/2006">
      <mc:Choice Requires="x14">
        <control shapeId="59859" r:id="rId37" name="Check Box 1491">
          <controlPr defaultSize="0" autoFill="0" autoLine="0" autoPict="0">
            <anchor moveWithCells="1">
              <from>
                <xdr:col>3</xdr:col>
                <xdr:colOff>603250</xdr:colOff>
                <xdr:row>9</xdr:row>
                <xdr:rowOff>76200</xdr:rowOff>
              </from>
              <to>
                <xdr:col>3</xdr:col>
                <xdr:colOff>965200</xdr:colOff>
                <xdr:row>9</xdr:row>
                <xdr:rowOff>190500</xdr:rowOff>
              </to>
            </anchor>
          </controlPr>
        </control>
      </mc:Choice>
    </mc:AlternateContent>
    <mc:AlternateContent xmlns:mc="http://schemas.openxmlformats.org/markup-compatibility/2006">
      <mc:Choice Requires="x14">
        <control shapeId="59860" r:id="rId38" name="Contractor_Lookup">
          <controlPr defaultSize="0" autoFill="0" autoPict="0">
            <anchor moveWithCells="1">
              <from>
                <xdr:col>0</xdr:col>
                <xdr:colOff>50800</xdr:colOff>
                <xdr:row>96</xdr:row>
                <xdr:rowOff>0</xdr:rowOff>
              </from>
              <to>
                <xdr:col>4</xdr:col>
                <xdr:colOff>260350</xdr:colOff>
                <xdr:row>100</xdr:row>
                <xdr:rowOff>107950</xdr:rowOff>
              </to>
            </anchor>
          </controlPr>
        </control>
      </mc:Choice>
    </mc:AlternateContent>
    <mc:AlternateContent xmlns:mc="http://schemas.openxmlformats.org/markup-compatibility/2006">
      <mc:Choice Requires="x14">
        <control shapeId="59861" r:id="rId39" name="Option Button 1493">
          <controlPr defaultSize="0" autoFill="0" autoLine="0" autoPict="0">
            <anchor moveWithCells="1">
              <from>
                <xdr:col>4</xdr:col>
                <xdr:colOff>419100</xdr:colOff>
                <xdr:row>103</xdr:row>
                <xdr:rowOff>0</xdr:rowOff>
              </from>
              <to>
                <xdr:col>5</xdr:col>
                <xdr:colOff>50800</xdr:colOff>
                <xdr:row>104</xdr:row>
                <xdr:rowOff>50800</xdr:rowOff>
              </to>
            </anchor>
          </controlPr>
        </control>
      </mc:Choice>
    </mc:AlternateContent>
    <mc:AlternateContent xmlns:mc="http://schemas.openxmlformats.org/markup-compatibility/2006">
      <mc:Choice Requires="x14">
        <control shapeId="59862" r:id="rId40" name="Option Button 1494">
          <controlPr defaultSize="0" autoFill="0" autoLine="0" autoPict="0">
            <anchor moveWithCells="1">
              <from>
                <xdr:col>5</xdr:col>
                <xdr:colOff>571500</xdr:colOff>
                <xdr:row>103</xdr:row>
                <xdr:rowOff>12700</xdr:rowOff>
              </from>
              <to>
                <xdr:col>6</xdr:col>
                <xdr:colOff>0</xdr:colOff>
                <xdr:row>104</xdr:row>
                <xdr:rowOff>12700</xdr:rowOff>
              </to>
            </anchor>
          </controlPr>
        </control>
      </mc:Choice>
    </mc:AlternateContent>
    <mc:AlternateContent xmlns:mc="http://schemas.openxmlformats.org/markup-compatibility/2006">
      <mc:Choice Requires="x14">
        <control shapeId="59863" r:id="rId41" name="Group Box 1495">
          <controlPr defaultSize="0" autoFill="0" autoPict="0">
            <anchor moveWithCells="1">
              <from>
                <xdr:col>4</xdr:col>
                <xdr:colOff>361950</xdr:colOff>
                <xdr:row>102</xdr:row>
                <xdr:rowOff>12700</xdr:rowOff>
              </from>
              <to>
                <xdr:col>6</xdr:col>
                <xdr:colOff>533400</xdr:colOff>
                <xdr:row>104</xdr:row>
                <xdr:rowOff>165100</xdr:rowOff>
              </to>
            </anchor>
          </controlPr>
        </control>
      </mc:Choice>
    </mc:AlternateContent>
    <mc:AlternateContent xmlns:mc="http://schemas.openxmlformats.org/markup-compatibility/2006">
      <mc:Choice Requires="x14">
        <control shapeId="59864" r:id="rId42" name="Group Box 1496">
          <controlPr defaultSize="0" autoFill="0" autoPict="0">
            <anchor moveWithCells="1">
              <from>
                <xdr:col>0</xdr:col>
                <xdr:colOff>374650</xdr:colOff>
                <xdr:row>96</xdr:row>
                <xdr:rowOff>76200</xdr:rowOff>
              </from>
              <to>
                <xdr:col>4</xdr:col>
                <xdr:colOff>260350</xdr:colOff>
                <xdr:row>100</xdr:row>
                <xdr:rowOff>12700</xdr:rowOff>
              </to>
            </anchor>
          </controlPr>
        </control>
      </mc:Choice>
    </mc:AlternateContent>
    <mc:AlternateContent xmlns:mc="http://schemas.openxmlformats.org/markup-compatibility/2006">
      <mc:Choice Requires="x14">
        <control shapeId="59865" r:id="rId43" name="Option Button 1497">
          <controlPr defaultSize="0" autoFill="0" autoLine="0" autoPict="0">
            <anchor moveWithCells="1">
              <from>
                <xdr:col>4</xdr:col>
                <xdr:colOff>419100</xdr:colOff>
                <xdr:row>106</xdr:row>
                <xdr:rowOff>0</xdr:rowOff>
              </from>
              <to>
                <xdr:col>5</xdr:col>
                <xdr:colOff>50800</xdr:colOff>
                <xdr:row>107</xdr:row>
                <xdr:rowOff>50800</xdr:rowOff>
              </to>
            </anchor>
          </controlPr>
        </control>
      </mc:Choice>
    </mc:AlternateContent>
    <mc:AlternateContent xmlns:mc="http://schemas.openxmlformats.org/markup-compatibility/2006">
      <mc:Choice Requires="x14">
        <control shapeId="59866" r:id="rId44" name="Option Button 1498">
          <controlPr defaultSize="0" autoFill="0" autoLine="0" autoPict="0">
            <anchor moveWithCells="1">
              <from>
                <xdr:col>5</xdr:col>
                <xdr:colOff>571500</xdr:colOff>
                <xdr:row>106</xdr:row>
                <xdr:rowOff>12700</xdr:rowOff>
              </from>
              <to>
                <xdr:col>6</xdr:col>
                <xdr:colOff>0</xdr:colOff>
                <xdr:row>107</xdr:row>
                <xdr:rowOff>12700</xdr:rowOff>
              </to>
            </anchor>
          </controlPr>
        </control>
      </mc:Choice>
    </mc:AlternateContent>
    <mc:AlternateContent xmlns:mc="http://schemas.openxmlformats.org/markup-compatibility/2006">
      <mc:Choice Requires="x14">
        <control shapeId="59867" r:id="rId45" name="Group Box 1499">
          <controlPr defaultSize="0" autoFill="0" autoPict="0">
            <anchor moveWithCells="1">
              <from>
                <xdr:col>4</xdr:col>
                <xdr:colOff>266700</xdr:colOff>
                <xdr:row>105</xdr:row>
                <xdr:rowOff>69850</xdr:rowOff>
              </from>
              <to>
                <xdr:col>6</xdr:col>
                <xdr:colOff>323850</xdr:colOff>
                <xdr:row>108</xdr:row>
                <xdr:rowOff>38100</xdr:rowOff>
              </to>
            </anchor>
          </controlPr>
        </control>
      </mc:Choice>
    </mc:AlternateContent>
    <mc:AlternateContent xmlns:mc="http://schemas.openxmlformats.org/markup-compatibility/2006">
      <mc:Choice Requires="x14">
        <control shapeId="59868" r:id="rId46" name="Option Button 1500">
          <controlPr defaultSize="0" autoFill="0" autoLine="0" autoPict="0">
            <anchor moveWithCells="1">
              <from>
                <xdr:col>0</xdr:col>
                <xdr:colOff>431800</xdr:colOff>
                <xdr:row>97</xdr:row>
                <xdr:rowOff>171450</xdr:rowOff>
              </from>
              <to>
                <xdr:col>1</xdr:col>
                <xdr:colOff>495300</xdr:colOff>
                <xdr:row>99</xdr:row>
                <xdr:rowOff>0</xdr:rowOff>
              </to>
            </anchor>
          </controlPr>
        </control>
      </mc:Choice>
    </mc:AlternateContent>
    <mc:AlternateContent xmlns:mc="http://schemas.openxmlformats.org/markup-compatibility/2006">
      <mc:Choice Requires="x14">
        <control shapeId="59869" r:id="rId47" name="Option Button 1501">
          <controlPr defaultSize="0" autoFill="0" autoLine="0" autoPict="0">
            <anchor moveWithCells="1">
              <from>
                <xdr:col>1</xdr:col>
                <xdr:colOff>742950</xdr:colOff>
                <xdr:row>97</xdr:row>
                <xdr:rowOff>171450</xdr:rowOff>
              </from>
              <to>
                <xdr:col>3</xdr:col>
                <xdr:colOff>241300</xdr:colOff>
                <xdr:row>99</xdr:row>
                <xdr:rowOff>0</xdr:rowOff>
              </to>
            </anchor>
          </controlPr>
        </control>
      </mc:Choice>
    </mc:AlternateContent>
    <mc:AlternateContent xmlns:mc="http://schemas.openxmlformats.org/markup-compatibility/2006">
      <mc:Choice Requires="x14">
        <control shapeId="59870" r:id="rId48" name="Option Button 1502">
          <controlPr defaultSize="0" autoFill="0" autoLine="0" autoPict="0">
            <anchor moveWithCells="1">
              <from>
                <xdr:col>3</xdr:col>
                <xdr:colOff>57150</xdr:colOff>
                <xdr:row>97</xdr:row>
                <xdr:rowOff>165100</xdr:rowOff>
              </from>
              <to>
                <xdr:col>4</xdr:col>
                <xdr:colOff>190500</xdr:colOff>
                <xdr:row>99</xdr:row>
                <xdr:rowOff>69850</xdr:rowOff>
              </to>
            </anchor>
          </controlPr>
        </control>
      </mc:Choice>
    </mc:AlternateContent>
  </control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P202"/>
  <sheetViews>
    <sheetView showGridLines="0" zoomScale="90" zoomScaleNormal="90" workbookViewId="0">
      <selection sqref="A1:J1"/>
    </sheetView>
  </sheetViews>
  <sheetFormatPr defaultColWidth="0" defaultRowHeight="14.5" customHeight="1" zeroHeight="1"/>
  <cols>
    <col min="1" max="1" width="14.54296875" style="38" customWidth="1"/>
    <col min="2" max="2" width="9.54296875" style="38" customWidth="1"/>
    <col min="3" max="3" width="11.54296875" style="38" customWidth="1"/>
    <col min="4" max="4" width="16" style="38" customWidth="1"/>
    <col min="5" max="5" width="10.54296875" style="38" customWidth="1"/>
    <col min="6" max="6" width="12" style="38" customWidth="1"/>
    <col min="7" max="7" width="11.54296875" style="38" customWidth="1"/>
    <col min="8" max="10" width="10.54296875" style="38" customWidth="1"/>
    <col min="11" max="11" width="19.54296875" style="38" customWidth="1"/>
    <col min="12" max="13" width="10.54296875" style="38" customWidth="1"/>
    <col min="14" max="14" width="9.1796875" style="38" customWidth="1"/>
    <col min="15" max="15" width="14" style="38" customWidth="1"/>
    <col min="16" max="16384" width="8.7265625" style="38" hidden="1"/>
  </cols>
  <sheetData>
    <row r="1" spans="1:16" ht="55" customHeight="1">
      <c r="A1" s="1410" t="str">
        <f>Development!$A$3&amp;" Residential Efficiency Program"</f>
        <v>2025 Residential Efficiency Program</v>
      </c>
      <c r="B1" s="1410"/>
      <c r="C1" s="1410"/>
      <c r="D1" s="1410"/>
      <c r="E1" s="1410"/>
      <c r="F1" s="1410"/>
      <c r="G1" s="1410"/>
      <c r="H1" s="1410"/>
      <c r="I1" s="1410"/>
      <c r="J1" s="1410"/>
      <c r="K1" s="6"/>
      <c r="L1" s="6"/>
      <c r="M1" s="6"/>
      <c r="N1" s="6"/>
      <c r="O1" s="6"/>
    </row>
    <row r="2" spans="1:16" ht="55" customHeight="1">
      <c r="A2" s="1418" t="s">
        <v>100</v>
      </c>
      <c r="B2" s="1418"/>
      <c r="C2" s="1418"/>
      <c r="D2" s="1418"/>
      <c r="E2" s="1418"/>
      <c r="F2" s="1418"/>
      <c r="G2" s="1418"/>
      <c r="H2" s="1418"/>
      <c r="I2" s="1418"/>
      <c r="J2" s="1418"/>
      <c r="K2" s="7"/>
      <c r="L2" s="7"/>
      <c r="M2" s="7"/>
      <c r="N2" s="7"/>
      <c r="O2" s="7"/>
    </row>
    <row r="3" spans="1:16" ht="31" thickBot="1">
      <c r="A3" s="23" t="s">
        <v>102</v>
      </c>
      <c r="B3" s="23"/>
      <c r="C3" s="23"/>
      <c r="D3" s="23"/>
      <c r="E3" s="23"/>
      <c r="F3" s="23"/>
      <c r="G3" s="23"/>
      <c r="H3" s="23"/>
      <c r="I3" s="23"/>
      <c r="J3" s="23"/>
      <c r="K3" s="23"/>
      <c r="L3" s="23"/>
      <c r="M3" s="23"/>
      <c r="N3" s="23"/>
      <c r="O3" s="7"/>
    </row>
    <row r="4" spans="1:16" ht="18.75" customHeight="1">
      <c r="A4" s="24"/>
      <c r="B4" s="24"/>
      <c r="C4" s="24"/>
      <c r="D4" s="24"/>
      <c r="E4" s="24"/>
      <c r="F4" s="24"/>
      <c r="G4" s="24"/>
      <c r="H4" s="24"/>
      <c r="I4" s="24"/>
      <c r="J4" s="24"/>
      <c r="K4" s="24"/>
      <c r="L4" s="24"/>
      <c r="M4" s="24"/>
      <c r="N4" s="24"/>
      <c r="O4" s="24"/>
    </row>
    <row r="5" spans="1:16" ht="18" customHeight="1">
      <c r="A5" s="19" t="s">
        <v>104</v>
      </c>
      <c r="B5" s="91" t="e">
        <f>#REF!</f>
        <v>#REF!</v>
      </c>
      <c r="C5" s="89"/>
      <c r="D5" s="89"/>
      <c r="E5" s="19"/>
      <c r="F5" s="19"/>
      <c r="G5" s="19" t="s">
        <v>57</v>
      </c>
      <c r="H5" s="1426" t="e">
        <f>IF(#REF!="","",#REF!)</f>
        <v>#REF!</v>
      </c>
      <c r="I5" s="1426"/>
      <c r="J5" s="15"/>
      <c r="K5" s="7"/>
      <c r="L5" s="7"/>
      <c r="M5" s="7"/>
      <c r="N5" s="7"/>
      <c r="O5" s="7"/>
    </row>
    <row r="6" spans="1:16" ht="18" customHeight="1">
      <c r="A6" s="19"/>
      <c r="B6" s="19"/>
      <c r="C6" s="19"/>
      <c r="D6" s="19"/>
      <c r="E6" s="19"/>
      <c r="F6" s="19"/>
      <c r="G6" s="19"/>
      <c r="H6" s="19"/>
      <c r="I6" s="15"/>
      <c r="J6" s="15"/>
      <c r="K6" s="7"/>
      <c r="L6" s="7"/>
      <c r="M6" s="7"/>
      <c r="N6" s="7"/>
      <c r="O6" s="7"/>
    </row>
    <row r="7" spans="1:16" ht="18" customHeight="1">
      <c r="B7" s="19"/>
      <c r="D7" s="19"/>
      <c r="E7" s="19"/>
      <c r="F7" s="19"/>
      <c r="G7" s="19" t="s">
        <v>103</v>
      </c>
      <c r="H7" s="1426" t="e">
        <f>IF(#REF!="","",#REF!)</f>
        <v>#REF!</v>
      </c>
      <c r="I7" s="1426"/>
      <c r="J7" s="15"/>
      <c r="K7" s="7"/>
      <c r="L7" s="7"/>
      <c r="M7" s="7"/>
      <c r="N7" s="7"/>
      <c r="O7" s="7"/>
    </row>
    <row r="8" spans="1:16" ht="23">
      <c r="A8" s="21" t="s">
        <v>101</v>
      </c>
      <c r="B8" s="20"/>
      <c r="C8" s="20"/>
      <c r="D8" s="20"/>
      <c r="E8" s="20"/>
      <c r="F8" s="20"/>
      <c r="G8" s="20"/>
      <c r="H8" s="20"/>
      <c r="I8" s="20"/>
      <c r="J8" s="20"/>
      <c r="K8" s="20"/>
      <c r="L8" s="20"/>
      <c r="M8" s="13"/>
      <c r="N8" s="20"/>
      <c r="O8" s="20"/>
    </row>
    <row r="9" spans="1:16" ht="30.5">
      <c r="A9" s="15"/>
      <c r="B9" s="65" t="s">
        <v>26</v>
      </c>
      <c r="C9" s="66"/>
      <c r="D9" s="65" t="s">
        <v>27</v>
      </c>
      <c r="E9" s="67"/>
      <c r="F9" s="15"/>
      <c r="G9" s="15"/>
      <c r="H9" s="15"/>
      <c r="I9" s="15"/>
      <c r="J9" s="15"/>
      <c r="K9" s="7"/>
      <c r="L9" s="7"/>
      <c r="M9" s="7"/>
      <c r="N9" s="7"/>
      <c r="O9" s="7"/>
    </row>
    <row r="10" spans="1:16" ht="24" customHeight="1">
      <c r="A10" s="7"/>
      <c r="B10" s="22"/>
      <c r="C10" s="22"/>
      <c r="D10" s="22"/>
      <c r="E10" s="22"/>
      <c r="G10" s="17"/>
      <c r="H10" s="17"/>
      <c r="J10" s="7"/>
      <c r="K10" s="7"/>
      <c r="L10" s="7"/>
      <c r="M10" s="7"/>
      <c r="N10" s="7"/>
      <c r="O10" s="7"/>
    </row>
    <row r="11" spans="1:16" ht="23.5" thickBot="1">
      <c r="A11" s="18" t="s">
        <v>48</v>
      </c>
      <c r="B11" s="18"/>
      <c r="C11" s="18"/>
      <c r="D11" s="18"/>
      <c r="E11" s="18"/>
      <c r="F11" s="18"/>
      <c r="G11" s="18"/>
      <c r="H11" s="18"/>
      <c r="I11" s="18"/>
      <c r="J11" s="18"/>
      <c r="K11" s="18"/>
      <c r="L11" s="18"/>
      <c r="M11" s="18"/>
      <c r="N11" s="18"/>
      <c r="O11" s="18"/>
    </row>
    <row r="12" spans="1:16" ht="6.75" customHeight="1">
      <c r="A12" s="4"/>
      <c r="B12" s="5"/>
      <c r="C12" s="5"/>
      <c r="D12" s="5"/>
      <c r="E12" s="5"/>
      <c r="F12" s="5"/>
      <c r="G12" s="5"/>
      <c r="H12" s="5"/>
      <c r="I12" s="5"/>
      <c r="J12" s="5"/>
      <c r="K12" s="5"/>
      <c r="L12" s="5"/>
      <c r="M12" s="5"/>
      <c r="N12" s="5"/>
      <c r="O12" s="5"/>
    </row>
    <row r="13" spans="1:16" ht="21.65" customHeight="1">
      <c r="A13" s="126" t="s">
        <v>299</v>
      </c>
      <c r="B13" s="5"/>
      <c r="C13" s="5"/>
      <c r="D13" s="5"/>
      <c r="E13" s="5"/>
      <c r="F13" s="5"/>
      <c r="G13" s="5"/>
      <c r="H13" s="5"/>
      <c r="I13" s="5"/>
      <c r="J13" s="5"/>
      <c r="K13" s="5"/>
      <c r="L13" s="5"/>
      <c r="M13" s="5"/>
      <c r="N13" s="5"/>
      <c r="O13" s="5"/>
      <c r="P13" s="5"/>
    </row>
    <row r="14" spans="1:16" ht="21.65" customHeight="1">
      <c r="A14" s="126"/>
      <c r="B14" s="5"/>
      <c r="C14" s="5"/>
      <c r="D14" s="5"/>
      <c r="E14" s="5"/>
      <c r="F14" s="5"/>
      <c r="G14" s="5"/>
      <c r="H14" s="5"/>
      <c r="I14" s="5"/>
      <c r="J14" s="5"/>
      <c r="K14" s="5"/>
      <c r="L14" s="5"/>
      <c r="M14" s="5"/>
      <c r="N14" s="5"/>
      <c r="O14" s="5"/>
      <c r="P14" s="5"/>
    </row>
    <row r="15" spans="1:16" ht="33.65" customHeight="1">
      <c r="A15" s="38" t="s">
        <v>334</v>
      </c>
      <c r="E15" s="1211"/>
      <c r="F15" s="1211"/>
      <c r="G15" s="38" t="str">
        <f>IF(OR(E15=""),"",'Air Flow References'!K4)</f>
        <v/>
      </c>
      <c r="L15" s="39" t="s">
        <v>335</v>
      </c>
      <c r="M15" s="1403"/>
      <c r="N15" s="1403"/>
      <c r="O15" s="38" t="str">
        <f>IF(OR(M15=""),"",'Air Flow References'!K6)</f>
        <v/>
      </c>
    </row>
    <row r="16" spans="1:16" ht="33.65" customHeight="1">
      <c r="E16" s="143"/>
      <c r="F16" s="143"/>
      <c r="L16" s="39"/>
      <c r="M16" s="140"/>
      <c r="N16" s="140"/>
    </row>
    <row r="17" spans="1:15" ht="33.65" customHeight="1">
      <c r="A17" s="125" t="s">
        <v>351</v>
      </c>
    </row>
    <row r="18" spans="1:15" ht="33.65" customHeight="1">
      <c r="A18" s="1354" t="s">
        <v>336</v>
      </c>
      <c r="B18" s="1354"/>
      <c r="C18" s="1354"/>
      <c r="D18" s="1354"/>
      <c r="E18" s="1404"/>
      <c r="F18" s="1404"/>
      <c r="G18" s="1425" t="str">
        <f>IF(OR(E18=""),"",'Air Flow References'!K5)</f>
        <v/>
      </c>
      <c r="H18" s="1425"/>
      <c r="I18" s="41" t="s">
        <v>296</v>
      </c>
      <c r="J18" s="41"/>
      <c r="L18" s="39" t="s">
        <v>337</v>
      </c>
      <c r="M18" s="1211"/>
      <c r="N18" s="1211"/>
      <c r="O18" s="38" t="str">
        <f>IF(OR(M18=""),"",'Air Flow References'!K7)</f>
        <v/>
      </c>
    </row>
    <row r="19" spans="1:15" ht="33.65" customHeight="1"/>
    <row r="20" spans="1:15" ht="33.65" customHeight="1">
      <c r="A20" s="38" t="s">
        <v>352</v>
      </c>
      <c r="E20" s="1422"/>
      <c r="F20" s="1422"/>
    </row>
    <row r="21" spans="1:15" ht="33.65" customHeight="1">
      <c r="F21" s="40"/>
    </row>
    <row r="22" spans="1:15" ht="33.65" customHeight="1">
      <c r="A22" s="38" t="s">
        <v>341</v>
      </c>
      <c r="E22" s="1403"/>
      <c r="F22" s="1403"/>
      <c r="G22" s="38" t="str">
        <f>IF(OR(E22=""),"",'Air Flow References'!K9)</f>
        <v/>
      </c>
      <c r="H22" s="68"/>
      <c r="I22" s="68"/>
      <c r="J22" s="68"/>
      <c r="K22" s="68"/>
    </row>
    <row r="23" spans="1:15" ht="33.65" customHeight="1">
      <c r="A23" s="137" t="s">
        <v>353</v>
      </c>
      <c r="E23" s="140"/>
      <c r="F23" s="140"/>
    </row>
    <row r="24" spans="1:15" ht="33.65" customHeight="1"/>
    <row r="25" spans="1:15" ht="33.65" customHeight="1">
      <c r="A25" s="38" t="s">
        <v>342</v>
      </c>
      <c r="E25" s="1423"/>
      <c r="F25" s="1423"/>
      <c r="G25" s="38" t="str">
        <f>IF(OR(E25=""),"",'Air Flow References'!K8)</f>
        <v/>
      </c>
    </row>
    <row r="26" spans="1:15" ht="33.65" customHeight="1">
      <c r="A26" s="137" t="s">
        <v>354</v>
      </c>
      <c r="E26" s="46"/>
      <c r="F26" s="46"/>
    </row>
    <row r="27" spans="1:15" ht="21.65" customHeight="1">
      <c r="A27" s="125"/>
      <c r="E27" s="46"/>
      <c r="F27" s="46"/>
    </row>
    <row r="28" spans="1:15" ht="21.65" customHeight="1">
      <c r="A28" s="125"/>
      <c r="E28" s="46"/>
      <c r="F28" s="46"/>
    </row>
    <row r="29" spans="1:15">
      <c r="A29" s="1354" t="s">
        <v>44</v>
      </c>
      <c r="B29" s="1354"/>
      <c r="C29" s="1354"/>
      <c r="D29" s="1354"/>
      <c r="E29" s="1354"/>
      <c r="F29" s="1354"/>
      <c r="G29" s="1354"/>
      <c r="H29" s="1354"/>
      <c r="I29" s="1354"/>
      <c r="J29" s="1354"/>
      <c r="K29" s="1354"/>
      <c r="L29" s="1354"/>
      <c r="M29" s="1354"/>
    </row>
    <row r="30" spans="1:15" ht="33.65" customHeight="1">
      <c r="A30" s="38" t="s">
        <v>45</v>
      </c>
      <c r="C30" s="1409"/>
      <c r="D30" s="1409"/>
      <c r="E30" s="1409"/>
      <c r="F30" s="1409"/>
      <c r="G30" s="1409"/>
      <c r="H30" s="1409"/>
      <c r="I30" s="1409"/>
      <c r="J30" s="1409"/>
      <c r="K30" s="1409"/>
      <c r="L30" s="1409"/>
    </row>
    <row r="31" spans="1:15"/>
    <row r="32" spans="1:15">
      <c r="A32" s="41" t="s">
        <v>47</v>
      </c>
    </row>
    <row r="33" spans="1:15">
      <c r="A33" s="38" t="s">
        <v>1514</v>
      </c>
    </row>
    <row r="34" spans="1:15">
      <c r="A34" s="38" t="s">
        <v>46</v>
      </c>
    </row>
    <row r="35" spans="1:15"/>
    <row r="36" spans="1:15"/>
    <row r="37" spans="1:15" ht="23.5" thickBot="1">
      <c r="A37" s="18" t="s">
        <v>178</v>
      </c>
      <c r="B37" s="18"/>
      <c r="C37" s="18"/>
      <c r="D37" s="18"/>
      <c r="E37" s="18"/>
      <c r="F37" s="18"/>
      <c r="G37" s="18"/>
      <c r="H37" s="18"/>
      <c r="I37" s="18"/>
      <c r="J37" s="18"/>
      <c r="K37" s="18"/>
      <c r="L37" s="18"/>
      <c r="M37" s="18"/>
      <c r="N37" s="18"/>
      <c r="O37" s="18"/>
    </row>
    <row r="38" spans="1:15" s="4" customFormat="1" ht="23"/>
    <row r="39" spans="1:15" ht="23">
      <c r="A39" s="3" t="s">
        <v>73</v>
      </c>
      <c r="B39" s="4"/>
      <c r="C39" s="4"/>
      <c r="D39" s="4"/>
      <c r="E39" s="4"/>
      <c r="F39" s="4"/>
      <c r="G39" s="4"/>
      <c r="H39" s="4"/>
      <c r="I39" s="1424"/>
      <c r="J39" s="1424"/>
      <c r="K39" s="4"/>
      <c r="L39" s="4"/>
      <c r="M39" s="4"/>
    </row>
    <row r="40" spans="1:15" s="4" customFormat="1" ht="23"/>
    <row r="41" spans="1:15" s="42" customFormat="1">
      <c r="A41" s="42" t="s">
        <v>164</v>
      </c>
    </row>
    <row r="42" spans="1:15">
      <c r="A42" s="43"/>
      <c r="B42" s="44"/>
      <c r="C42" s="44"/>
      <c r="D42" s="44"/>
      <c r="E42" s="44"/>
      <c r="F42" s="44"/>
      <c r="G42" s="44"/>
      <c r="H42" s="44"/>
      <c r="I42" s="44"/>
      <c r="J42" s="44"/>
      <c r="K42" s="44"/>
      <c r="L42" s="44"/>
      <c r="M42" s="44"/>
      <c r="N42" s="44"/>
    </row>
    <row r="43" spans="1:15">
      <c r="A43" s="48" t="s">
        <v>71</v>
      </c>
    </row>
    <row r="44" spans="1:15">
      <c r="A44" s="45" t="s">
        <v>72</v>
      </c>
    </row>
    <row r="45" spans="1:15">
      <c r="A45" s="45"/>
    </row>
    <row r="46" spans="1:15">
      <c r="A46" s="45"/>
      <c r="E46" s="1417"/>
      <c r="F46" s="1417"/>
    </row>
    <row r="47" spans="1:15">
      <c r="A47" s="45"/>
    </row>
    <row r="48" spans="1:15">
      <c r="A48" s="45"/>
    </row>
    <row r="49" spans="1:7">
      <c r="A49" s="45"/>
      <c r="B49" s="38" t="s">
        <v>86</v>
      </c>
      <c r="E49" s="90"/>
      <c r="F49" s="38" t="s">
        <v>77</v>
      </c>
      <c r="G49" s="38" t="str">
        <f>IF(OR(E49=""),"",'Air Flow References'!K16)</f>
        <v/>
      </c>
    </row>
    <row r="50" spans="1:7">
      <c r="A50" s="45"/>
    </row>
    <row r="51" spans="1:7">
      <c r="A51" s="45"/>
      <c r="B51" s="38" t="s">
        <v>87</v>
      </c>
      <c r="E51" s="90"/>
      <c r="F51" s="50" t="s">
        <v>77</v>
      </c>
      <c r="G51" s="38" t="str">
        <f>IF(OR(E51=""),"",'Air Flow References'!K17)</f>
        <v/>
      </c>
    </row>
    <row r="52" spans="1:7">
      <c r="A52" s="45"/>
    </row>
    <row r="53" spans="1:7">
      <c r="A53" s="48" t="s">
        <v>78</v>
      </c>
    </row>
    <row r="54" spans="1:7">
      <c r="A54" s="48"/>
    </row>
    <row r="55" spans="1:7">
      <c r="A55" s="45" t="s">
        <v>88</v>
      </c>
      <c r="E55" s="90"/>
      <c r="F55" s="38" t="s">
        <v>82</v>
      </c>
      <c r="G55" s="38" t="str">
        <f>IF(OR(E55=""),"",'Air Flow References'!K18)</f>
        <v/>
      </c>
    </row>
    <row r="56" spans="1:7">
      <c r="A56" s="45"/>
    </row>
    <row r="57" spans="1:7">
      <c r="A57" s="45" t="s">
        <v>89</v>
      </c>
      <c r="E57" s="90"/>
      <c r="F57" s="38" t="s">
        <v>77</v>
      </c>
      <c r="G57" s="38" t="str">
        <f>IF(OR(E57=""),"",'Air Flow References'!K19)</f>
        <v/>
      </c>
    </row>
    <row r="58" spans="1:7">
      <c r="A58" s="45"/>
    </row>
    <row r="59" spans="1:7">
      <c r="A59" s="45" t="s">
        <v>90</v>
      </c>
      <c r="E59" s="90"/>
      <c r="F59" s="38" t="s">
        <v>77</v>
      </c>
      <c r="G59" s="38" t="str">
        <f>IF(OR(E59=""),"",'Air Flow References'!K20)</f>
        <v/>
      </c>
    </row>
    <row r="60" spans="1:7">
      <c r="A60" s="45"/>
    </row>
    <row r="61" spans="1:7">
      <c r="A61" s="45" t="s">
        <v>91</v>
      </c>
      <c r="E61" s="92" t="str">
        <f>IF(OR(E57="",E59=""),"",E57-E59)</f>
        <v/>
      </c>
      <c r="F61" s="38" t="s">
        <v>77</v>
      </c>
      <c r="G61" s="38" t="str">
        <f>'Air Flow References'!K21</f>
        <v/>
      </c>
    </row>
    <row r="62" spans="1:7">
      <c r="A62" s="45"/>
    </row>
    <row r="63" spans="1:7">
      <c r="A63" s="51" t="s">
        <v>92</v>
      </c>
    </row>
    <row r="64" spans="1:7">
      <c r="A64" s="45"/>
    </row>
    <row r="65" spans="1:15">
      <c r="A65" s="52" t="s">
        <v>93</v>
      </c>
      <c r="B65" s="53"/>
      <c r="C65" s="53"/>
      <c r="D65" s="53"/>
      <c r="E65" s="53"/>
      <c r="F65" s="53"/>
      <c r="G65" s="53"/>
      <c r="H65" s="53"/>
      <c r="I65" s="53"/>
      <c r="J65" s="53"/>
      <c r="K65" s="53"/>
      <c r="L65" s="53"/>
      <c r="M65" s="53"/>
      <c r="N65" s="53"/>
    </row>
    <row r="66" spans="1:15">
      <c r="A66" s="42" t="s">
        <v>199</v>
      </c>
      <c r="B66" s="42"/>
      <c r="C66" s="42"/>
      <c r="D66" s="42"/>
      <c r="E66" s="42"/>
      <c r="F66" s="42"/>
      <c r="G66" s="42"/>
      <c r="H66" s="42"/>
      <c r="I66" s="42"/>
      <c r="J66" s="42"/>
      <c r="K66" s="42"/>
      <c r="L66" s="42"/>
      <c r="M66" s="42"/>
      <c r="N66" s="42"/>
      <c r="O66" s="42"/>
    </row>
    <row r="67" spans="1:15">
      <c r="A67" s="43"/>
      <c r="B67" s="44"/>
      <c r="C67" s="44"/>
      <c r="D67" s="44"/>
      <c r="E67" s="44"/>
      <c r="F67" s="44"/>
      <c r="G67" s="44"/>
      <c r="H67" s="44"/>
      <c r="I67" s="44"/>
      <c r="J67" s="44"/>
      <c r="K67" s="44"/>
      <c r="L67" s="44"/>
      <c r="M67" s="44"/>
      <c r="N67" s="44"/>
    </row>
    <row r="68" spans="1:15">
      <c r="A68" s="48" t="s">
        <v>71</v>
      </c>
    </row>
    <row r="69" spans="1:15">
      <c r="A69" s="45" t="s">
        <v>72</v>
      </c>
    </row>
    <row r="70" spans="1:15">
      <c r="A70" s="45"/>
    </row>
    <row r="71" spans="1:15">
      <c r="A71" s="45"/>
      <c r="E71" s="1417"/>
      <c r="F71" s="1417"/>
    </row>
    <row r="72" spans="1:15">
      <c r="A72" s="45"/>
    </row>
    <row r="73" spans="1:15">
      <c r="A73" s="45"/>
    </row>
    <row r="74" spans="1:15">
      <c r="A74" s="45"/>
      <c r="B74" s="38" t="s">
        <v>74</v>
      </c>
      <c r="E74" s="90"/>
      <c r="F74" s="38" t="s">
        <v>298</v>
      </c>
      <c r="G74" s="148" t="str">
        <f>IF(OR(E74=""),"",'Air Flow References'!K28)</f>
        <v/>
      </c>
    </row>
    <row r="75" spans="1:15">
      <c r="A75" s="45"/>
      <c r="B75" s="38" t="s">
        <v>297</v>
      </c>
      <c r="E75" s="143"/>
      <c r="G75" s="49"/>
    </row>
    <row r="76" spans="1:15">
      <c r="A76" s="45"/>
    </row>
    <row r="77" spans="1:15">
      <c r="A77" s="45"/>
      <c r="B77" s="38" t="s">
        <v>75</v>
      </c>
      <c r="E77" s="90"/>
      <c r="F77" s="38" t="s">
        <v>77</v>
      </c>
      <c r="G77" s="38" t="str">
        <f>IF(OR(E77=""),"",'Air Flow References'!K29)</f>
        <v/>
      </c>
    </row>
    <row r="78" spans="1:15">
      <c r="A78" s="45"/>
    </row>
    <row r="79" spans="1:15">
      <c r="A79" s="45"/>
      <c r="B79" s="38" t="s">
        <v>76</v>
      </c>
      <c r="E79" s="90"/>
      <c r="F79" s="50" t="s">
        <v>77</v>
      </c>
      <c r="G79" s="38" t="str">
        <f>IF(OR(E79=""),"",'Air Flow References'!K30)</f>
        <v/>
      </c>
    </row>
    <row r="80" spans="1:15">
      <c r="A80" s="45"/>
    </row>
    <row r="81" spans="1:7">
      <c r="A81" s="45"/>
    </row>
    <row r="82" spans="1:7">
      <c r="A82" s="48" t="s">
        <v>78</v>
      </c>
    </row>
    <row r="83" spans="1:7">
      <c r="A83" s="45"/>
    </row>
    <row r="84" spans="1:7">
      <c r="A84" s="45" t="s">
        <v>79</v>
      </c>
      <c r="E84" s="90"/>
      <c r="F84" s="38" t="s">
        <v>82</v>
      </c>
      <c r="G84" s="38" t="str">
        <f>IF(OR(E84=""),"",'Air Flow References'!K31)</f>
        <v/>
      </c>
    </row>
    <row r="85" spans="1:7">
      <c r="A85" s="45"/>
    </row>
    <row r="86" spans="1:7">
      <c r="A86" s="45" t="s">
        <v>80</v>
      </c>
      <c r="E86" s="90"/>
      <c r="F86" s="50" t="s">
        <v>77</v>
      </c>
      <c r="G86" s="38" t="str">
        <f>IF(OR(E86=""),"",'Air Flow References'!K32)</f>
        <v/>
      </c>
    </row>
    <row r="87" spans="1:7">
      <c r="A87" s="45"/>
    </row>
    <row r="88" spans="1:7">
      <c r="A88" s="45" t="s">
        <v>81</v>
      </c>
      <c r="E88" s="90"/>
      <c r="F88" s="50" t="s">
        <v>77</v>
      </c>
      <c r="G88" s="38" t="str">
        <f>IF(OR(E88=""),"",'Air Flow References'!K33)</f>
        <v/>
      </c>
    </row>
    <row r="89" spans="1:7">
      <c r="A89" s="45"/>
    </row>
    <row r="90" spans="1:7">
      <c r="A90" s="45" t="s">
        <v>83</v>
      </c>
      <c r="E90" s="92" t="str">
        <f>IF(OR(E86="",E88=""),"",E88-E86)</f>
        <v/>
      </c>
      <c r="F90" s="50" t="s">
        <v>77</v>
      </c>
      <c r="G90" s="38" t="str">
        <f>'Air Flow References'!K34</f>
        <v/>
      </c>
    </row>
    <row r="91" spans="1:7">
      <c r="A91" s="45"/>
    </row>
    <row r="92" spans="1:7">
      <c r="A92" s="51" t="s">
        <v>84</v>
      </c>
    </row>
    <row r="93" spans="1:7">
      <c r="A93" s="45"/>
    </row>
    <row r="94" spans="1:7">
      <c r="A94" s="41" t="s">
        <v>85</v>
      </c>
    </row>
    <row r="95" spans="1:7" s="42" customFormat="1">
      <c r="A95" s="42" t="s">
        <v>1338</v>
      </c>
    </row>
    <row r="96" spans="1:7">
      <c r="A96" s="41"/>
    </row>
    <row r="97" spans="1:14">
      <c r="A97" s="38" t="s">
        <v>49</v>
      </c>
    </row>
    <row r="98" spans="1:14">
      <c r="A98" s="41"/>
    </row>
    <row r="99" spans="1:14">
      <c r="A99" s="41"/>
      <c r="E99" s="1211"/>
      <c r="F99" s="1211"/>
      <c r="G99" s="38" t="s">
        <v>50</v>
      </c>
    </row>
    <row r="100" spans="1:14">
      <c r="A100" s="1124" t="s">
        <v>1432</v>
      </c>
      <c r="B100" s="1124"/>
    </row>
    <row r="101" spans="1:14">
      <c r="A101" s="1124"/>
      <c r="B101" s="1124"/>
      <c r="C101" s="498"/>
      <c r="D101" t="s">
        <v>1515</v>
      </c>
      <c r="E101" s="498"/>
      <c r="F101" s="38" t="s">
        <v>1516</v>
      </c>
    </row>
    <row r="102" spans="1:14">
      <c r="C102"/>
      <c r="D102"/>
      <c r="F102"/>
    </row>
    <row r="103" spans="1:14">
      <c r="A103" s="41"/>
    </row>
    <row r="104" spans="1:14">
      <c r="A104" s="38" t="s">
        <v>1339</v>
      </c>
      <c r="E104" s="499"/>
    </row>
    <row r="105" spans="1:14">
      <c r="A105" s="41"/>
    </row>
    <row r="106" spans="1:14">
      <c r="A106" s="38" t="s">
        <v>59</v>
      </c>
      <c r="E106" s="499"/>
    </row>
    <row r="107" spans="1:14">
      <c r="A107" s="41"/>
    </row>
    <row r="108" spans="1:14">
      <c r="A108" s="41"/>
    </row>
    <row r="109" spans="1:14">
      <c r="A109" s="38" t="s">
        <v>1433</v>
      </c>
      <c r="C109" s="498"/>
      <c r="D109" s="38" t="s">
        <v>60</v>
      </c>
    </row>
    <row r="110" spans="1:14">
      <c r="A110" s="41"/>
    </row>
    <row r="111" spans="1:14">
      <c r="A111" s="38" t="s">
        <v>61</v>
      </c>
      <c r="D111" s="506"/>
      <c r="E111" s="38" t="s">
        <v>62</v>
      </c>
      <c r="F111" s="38" t="s">
        <v>63</v>
      </c>
      <c r="G111" s="498"/>
      <c r="H111" s="1399" t="s">
        <v>1340</v>
      </c>
      <c r="I111" s="1399"/>
      <c r="J111" s="505"/>
      <c r="K111" t="s">
        <v>65</v>
      </c>
      <c r="L111" s="46" t="s">
        <v>66</v>
      </c>
      <c r="M111" s="498"/>
      <c r="N111" s="38" t="s">
        <v>67</v>
      </c>
    </row>
    <row r="112" spans="1:14">
      <c r="A112" s="41"/>
    </row>
    <row r="113" spans="1:15">
      <c r="A113" s="38" t="s">
        <v>142</v>
      </c>
      <c r="D113" s="506"/>
      <c r="E113" s="38" t="s">
        <v>62</v>
      </c>
      <c r="F113" s="38" t="s">
        <v>63</v>
      </c>
      <c r="G113" s="498"/>
      <c r="H113" s="1425" t="s">
        <v>64</v>
      </c>
      <c r="I113" s="1425"/>
      <c r="J113" s="505"/>
      <c r="K113" s="38" t="s">
        <v>65</v>
      </c>
      <c r="L113" s="46" t="s">
        <v>66</v>
      </c>
      <c r="M113" s="498"/>
      <c r="N113" s="38" t="s">
        <v>67</v>
      </c>
    </row>
    <row r="114" spans="1:15">
      <c r="A114" s="41"/>
    </row>
    <row r="115" spans="1:15">
      <c r="A115" s="38" t="s">
        <v>1341</v>
      </c>
      <c r="M115" s="498"/>
      <c r="N115" s="38" t="s">
        <v>67</v>
      </c>
    </row>
    <row r="116" spans="1:15">
      <c r="A116" s="41"/>
      <c r="F116" s="1427" t="s">
        <v>1342</v>
      </c>
      <c r="G116" s="1428"/>
      <c r="H116" s="1428"/>
      <c r="I116" s="1428"/>
      <c r="J116" s="1428"/>
      <c r="K116" s="1429"/>
    </row>
    <row r="117" spans="1:15">
      <c r="A117" s="41"/>
      <c r="B117" s="38" t="s">
        <v>68</v>
      </c>
      <c r="F117" s="1430"/>
      <c r="G117" s="1431"/>
      <c r="H117" s="1431"/>
      <c r="I117" s="1431"/>
      <c r="J117" s="1431"/>
      <c r="K117" s="1432"/>
      <c r="M117" s="53" t="str">
        <f>IF(AND(M85="",M87="",M89=""),"",M85+M87+M89)</f>
        <v/>
      </c>
      <c r="N117" s="38" t="s">
        <v>67</v>
      </c>
    </row>
    <row r="118" spans="1:15">
      <c r="A118" s="41"/>
    </row>
    <row r="119" spans="1:15">
      <c r="A119" s="41" t="s">
        <v>70</v>
      </c>
    </row>
    <row r="120" spans="1:15"/>
    <row r="121" spans="1:15"/>
    <row r="122" spans="1:15"/>
    <row r="123" spans="1:15">
      <c r="A123" s="57" t="s">
        <v>165</v>
      </c>
      <c r="B123" s="61"/>
      <c r="C123" s="58" t="str">
        <f>Development!$A$4&amp;"_"&amp;Development!$A$2</f>
        <v>01.01.2025_1.0</v>
      </c>
      <c r="D123" s="1415"/>
      <c r="E123" s="1415"/>
      <c r="F123" s="1415"/>
      <c r="G123" s="1416"/>
      <c r="H123" s="1416"/>
      <c r="I123" s="1416"/>
      <c r="J123" s="44"/>
      <c r="K123" s="44"/>
      <c r="L123" s="44"/>
      <c r="M123" s="44"/>
      <c r="N123" s="60" t="s">
        <v>167</v>
      </c>
      <c r="O123" s="59" t="str">
        <f>Development!$A$4</f>
        <v>01.01.2025</v>
      </c>
    </row>
    <row r="124" spans="1:15"/>
    <row r="125" spans="1:15"/>
    <row r="126" spans="1:15"/>
    <row r="127" spans="1:15"/>
    <row r="128" spans="1:15"/>
    <row r="129" spans="15:15"/>
    <row r="130" spans="15:15"/>
    <row r="131" spans="15:15"/>
    <row r="132" spans="15:15"/>
    <row r="133" spans="15:15"/>
    <row r="134" spans="15:15"/>
    <row r="135" spans="15:15"/>
    <row r="136" spans="15:15"/>
    <row r="137" spans="15:15"/>
    <row r="138" spans="15:15"/>
    <row r="139" spans="15:15"/>
    <row r="140" spans="15:15"/>
    <row r="141" spans="15:15"/>
    <row r="142" spans="15:15"/>
    <row r="143" spans="15:15">
      <c r="O143" s="54"/>
    </row>
    <row r="155"/>
    <row r="156"/>
    <row r="157"/>
    <row r="158"/>
    <row r="159"/>
    <row r="160"/>
    <row r="161"/>
    <row r="162"/>
    <row r="163"/>
    <row r="164"/>
    <row r="165"/>
    <row r="166" ht="14.5" customHeight="1"/>
    <row r="167" ht="14.5" customHeight="1"/>
    <row r="168" ht="14.5" customHeight="1"/>
    <row r="169" ht="14.5" customHeight="1"/>
    <row r="170" ht="14.5" customHeight="1"/>
    <row r="171" ht="14.5" customHeight="1"/>
    <row r="172" ht="14.5" customHeight="1"/>
    <row r="173" ht="14.5" customHeight="1"/>
    <row r="174" ht="14.5" customHeight="1"/>
    <row r="175" ht="14.5" customHeight="1"/>
    <row r="176" ht="14.5" customHeight="1"/>
    <row r="177" ht="14.5" customHeight="1"/>
    <row r="178" ht="14.5" customHeight="1"/>
    <row r="179" ht="14.5" customHeight="1"/>
    <row r="180" ht="14.5" customHeight="1"/>
    <row r="181" ht="14.5" customHeight="1"/>
    <row r="182" ht="14.5" customHeight="1"/>
    <row r="183" ht="14.5" customHeight="1"/>
    <row r="184" ht="14.5" customHeight="1"/>
    <row r="185" ht="14.5" customHeight="1"/>
    <row r="186" ht="14.5" customHeight="1"/>
    <row r="187" ht="14.5" customHeight="1"/>
    <row r="188" ht="14.5" customHeight="1"/>
    <row r="189" ht="14.5" customHeight="1"/>
    <row r="190" ht="14.5" customHeight="1"/>
    <row r="191" ht="14.5" customHeight="1"/>
    <row r="192" ht="14.5" customHeight="1"/>
    <row r="193" ht="14.5" customHeight="1"/>
    <row r="194" ht="14.5" customHeight="1"/>
    <row r="195" ht="14.5" customHeight="1"/>
    <row r="196" ht="14.5" customHeight="1"/>
    <row r="197" ht="14.5" customHeight="1"/>
    <row r="198" ht="14.5" customHeight="1"/>
    <row r="199" ht="14.5" customHeight="1"/>
    <row r="200" ht="14.5" customHeight="1"/>
    <row r="201" ht="14.5" customHeight="1"/>
    <row r="202" ht="14.5" customHeight="1"/>
  </sheetData>
  <sheetProtection algorithmName="SHA-512" hashValue="AxBCVJDOowdoLTrtkOqu9//i/QRl+ZYn2fJvhhzU659UwsTkZCNAd8D6kT6R7p3/0alz1f37lB91RQRrHUuzQg==" saltValue="+aoE7pMZwzTZZSW6upWNbA==" spinCount="100000" sheet="1" objects="1" scenarios="1"/>
  <mergeCells count="25">
    <mergeCell ref="M18:N18"/>
    <mergeCell ref="E71:F71"/>
    <mergeCell ref="D123:F123"/>
    <mergeCell ref="G123:I123"/>
    <mergeCell ref="E46:F46"/>
    <mergeCell ref="E99:F99"/>
    <mergeCell ref="H111:I111"/>
    <mergeCell ref="H113:I113"/>
    <mergeCell ref="F116:K117"/>
    <mergeCell ref="A100:B101"/>
    <mergeCell ref="I39:J39"/>
    <mergeCell ref="C30:L30"/>
    <mergeCell ref="E25:F25"/>
    <mergeCell ref="A1:J1"/>
    <mergeCell ref="A2:J2"/>
    <mergeCell ref="E15:F15"/>
    <mergeCell ref="E20:F20"/>
    <mergeCell ref="G18:H18"/>
    <mergeCell ref="E22:F22"/>
    <mergeCell ref="A29:M29"/>
    <mergeCell ref="M15:N15"/>
    <mergeCell ref="A18:D18"/>
    <mergeCell ref="E18:F18"/>
    <mergeCell ref="H5:I5"/>
    <mergeCell ref="H7:I7"/>
  </mergeCells>
  <pageMargins left="0.25" right="0.25" top="0.75" bottom="0.75" header="0.3" footer="0.3"/>
  <pageSetup scale="56" fitToHeight="4" orientation="portrait" r:id="rId1"/>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drawing r:id="rId2"/>
  <legacyDrawing r:id="rId3"/>
  <controls>
    <mc:AlternateContent xmlns:mc="http://schemas.openxmlformats.org/markup-compatibility/2006">
      <mc:Choice Requires="x14">
        <control shapeId="36919" r:id="rId4" name="CommandButton2">
          <controlPr defaultSize="0" autoLine="0" r:id="rId5">
            <anchor moveWithCells="1">
              <from>
                <xdr:col>11</xdr:col>
                <xdr:colOff>438150</xdr:colOff>
                <xdr:row>118</xdr:row>
                <xdr:rowOff>127000</xdr:rowOff>
              </from>
              <to>
                <xdr:col>14</xdr:col>
                <xdr:colOff>666750</xdr:colOff>
                <xdr:row>121</xdr:row>
                <xdr:rowOff>127000</xdr:rowOff>
              </to>
            </anchor>
          </controlPr>
        </control>
      </mc:Choice>
      <mc:Fallback>
        <control shapeId="36919" r:id="rId4" name="CommandButton2"/>
      </mc:Fallback>
    </mc:AlternateContent>
    <mc:AlternateContent xmlns:mc="http://schemas.openxmlformats.org/markup-compatibility/2006">
      <mc:Choice Requires="x14">
        <control shapeId="36891" r:id="rId6" name="OptionButton10">
          <controlPr defaultSize="0" autoLine="0" r:id="rId7">
            <anchor moveWithCells="1">
              <from>
                <xdr:col>1</xdr:col>
                <xdr:colOff>127000</xdr:colOff>
                <xdr:row>45</xdr:row>
                <xdr:rowOff>69850</xdr:rowOff>
              </from>
              <to>
                <xdr:col>2</xdr:col>
                <xdr:colOff>95250</xdr:colOff>
                <xdr:row>46</xdr:row>
                <xdr:rowOff>165100</xdr:rowOff>
              </to>
            </anchor>
          </controlPr>
        </control>
      </mc:Choice>
      <mc:Fallback>
        <control shapeId="36891" r:id="rId6" name="OptionButton10"/>
      </mc:Fallback>
    </mc:AlternateContent>
    <mc:AlternateContent xmlns:mc="http://schemas.openxmlformats.org/markup-compatibility/2006">
      <mc:Choice Requires="x14">
        <control shapeId="36882" r:id="rId8" name="OptionButton7">
          <controlPr defaultSize="0" autoLine="0" r:id="rId9">
            <anchor moveWithCells="1">
              <from>
                <xdr:col>1</xdr:col>
                <xdr:colOff>38100</xdr:colOff>
                <xdr:row>71</xdr:row>
                <xdr:rowOff>0</xdr:rowOff>
              </from>
              <to>
                <xdr:col>2</xdr:col>
                <xdr:colOff>19050</xdr:colOff>
                <xdr:row>72</xdr:row>
                <xdr:rowOff>88900</xdr:rowOff>
              </to>
            </anchor>
          </controlPr>
        </control>
      </mc:Choice>
      <mc:Fallback>
        <control shapeId="36882" r:id="rId8" name="OptionButton7"/>
      </mc:Fallback>
    </mc:AlternateContent>
    <mc:AlternateContent xmlns:mc="http://schemas.openxmlformats.org/markup-compatibility/2006">
      <mc:Choice Requires="x14">
        <control shapeId="36866" r:id="rId10" name="OptionButton2">
          <controlPr defaultSize="0" autoLine="0" autoPict="0" r:id="rId11">
            <anchor moveWithCells="1">
              <from>
                <xdr:col>6</xdr:col>
                <xdr:colOff>584200</xdr:colOff>
                <xdr:row>19</xdr:row>
                <xdr:rowOff>38100</xdr:rowOff>
              </from>
              <to>
                <xdr:col>13</xdr:col>
                <xdr:colOff>0</xdr:colOff>
                <xdr:row>20</xdr:row>
                <xdr:rowOff>469900</xdr:rowOff>
              </to>
            </anchor>
          </controlPr>
        </control>
      </mc:Choice>
      <mc:Fallback>
        <control shapeId="36866" r:id="rId10" name="OptionButton2"/>
      </mc:Fallback>
    </mc:AlternateContent>
    <mc:AlternateContent xmlns:mc="http://schemas.openxmlformats.org/markup-compatibility/2006">
      <mc:Choice Requires="x14">
        <control shapeId="36865" r:id="rId12" name="OptionButton1">
          <controlPr defaultSize="0" autoLine="0" autoPict="0" r:id="rId13">
            <anchor moveWithCells="1">
              <from>
                <xdr:col>2</xdr:col>
                <xdr:colOff>850900</xdr:colOff>
                <xdr:row>19</xdr:row>
                <xdr:rowOff>50800</xdr:rowOff>
              </from>
              <to>
                <xdr:col>6</xdr:col>
                <xdr:colOff>438150</xdr:colOff>
                <xdr:row>20</xdr:row>
                <xdr:rowOff>336550</xdr:rowOff>
              </to>
            </anchor>
          </controlPr>
        </control>
      </mc:Choice>
      <mc:Fallback>
        <control shapeId="36865" r:id="rId12" name="OptionButton1"/>
      </mc:Fallback>
    </mc:AlternateContent>
    <mc:AlternateContent xmlns:mc="http://schemas.openxmlformats.org/markup-compatibility/2006">
      <mc:Choice Requires="x14">
        <control shapeId="36867" r:id="rId14" name="Group Box 3">
          <controlPr defaultSize="0" autoFill="0" autoPict="0">
            <anchor moveWithCells="1">
              <from>
                <xdr:col>0</xdr:col>
                <xdr:colOff>12700</xdr:colOff>
                <xdr:row>21</xdr:row>
                <xdr:rowOff>0</xdr:rowOff>
              </from>
              <to>
                <xdr:col>7</xdr:col>
                <xdr:colOff>95250</xdr:colOff>
                <xdr:row>22</xdr:row>
                <xdr:rowOff>298450</xdr:rowOff>
              </to>
            </anchor>
          </controlPr>
        </control>
      </mc:Choice>
    </mc:AlternateContent>
    <mc:AlternateContent xmlns:mc="http://schemas.openxmlformats.org/markup-compatibility/2006">
      <mc:Choice Requires="x14">
        <control shapeId="36868" r:id="rId15" name="Check Box 4">
          <controlPr defaultSize="0" autoFill="0" autoLine="0" autoPict="0">
            <anchor moveWithCells="1">
              <from>
                <xdr:col>7</xdr:col>
                <xdr:colOff>533400</xdr:colOff>
                <xdr:row>21</xdr:row>
                <xdr:rowOff>146050</xdr:rowOff>
              </from>
              <to>
                <xdr:col>9</xdr:col>
                <xdr:colOff>50800</xdr:colOff>
                <xdr:row>21</xdr:row>
                <xdr:rowOff>450850</xdr:rowOff>
              </to>
            </anchor>
          </controlPr>
        </control>
      </mc:Choice>
    </mc:AlternateContent>
    <mc:AlternateContent xmlns:mc="http://schemas.openxmlformats.org/markup-compatibility/2006">
      <mc:Choice Requires="x14">
        <control shapeId="36869" r:id="rId16" name="Check Box 5">
          <controlPr defaultSize="0" autoFill="0" autoLine="0" autoPict="0">
            <anchor moveWithCells="1">
              <from>
                <xdr:col>9</xdr:col>
                <xdr:colOff>419100</xdr:colOff>
                <xdr:row>21</xdr:row>
                <xdr:rowOff>146050</xdr:rowOff>
              </from>
              <to>
                <xdr:col>10</xdr:col>
                <xdr:colOff>990600</xdr:colOff>
                <xdr:row>21</xdr:row>
                <xdr:rowOff>469900</xdr:rowOff>
              </to>
            </anchor>
          </controlPr>
        </control>
      </mc:Choice>
    </mc:AlternateContent>
    <mc:AlternateContent xmlns:mc="http://schemas.openxmlformats.org/markup-compatibility/2006">
      <mc:Choice Requires="x14">
        <control shapeId="36873" r:id="rId17" name="Group Box 9">
          <controlPr defaultSize="0" autoFill="0" autoPict="0">
            <anchor moveWithCells="1">
              <from>
                <xdr:col>0</xdr:col>
                <xdr:colOff>50800</xdr:colOff>
                <xdr:row>65</xdr:row>
                <xdr:rowOff>0</xdr:rowOff>
              </from>
              <to>
                <xdr:col>4</xdr:col>
                <xdr:colOff>260350</xdr:colOff>
                <xdr:row>69</xdr:row>
                <xdr:rowOff>95250</xdr:rowOff>
              </to>
            </anchor>
          </controlPr>
        </control>
      </mc:Choice>
    </mc:AlternateContent>
    <mc:AlternateContent xmlns:mc="http://schemas.openxmlformats.org/markup-compatibility/2006">
      <mc:Choice Requires="x14">
        <control shapeId="36874" r:id="rId18" name="Option Button 10">
          <controlPr defaultSize="0" autoFill="0" autoLine="0" autoPict="0">
            <anchor moveWithCells="1">
              <from>
                <xdr:col>4</xdr:col>
                <xdr:colOff>419100</xdr:colOff>
                <xdr:row>65</xdr:row>
                <xdr:rowOff>0</xdr:rowOff>
              </from>
              <to>
                <xdr:col>5</xdr:col>
                <xdr:colOff>50800</xdr:colOff>
                <xdr:row>66</xdr:row>
                <xdr:rowOff>50800</xdr:rowOff>
              </to>
            </anchor>
          </controlPr>
        </control>
      </mc:Choice>
    </mc:AlternateContent>
    <mc:AlternateContent xmlns:mc="http://schemas.openxmlformats.org/markup-compatibility/2006">
      <mc:Choice Requires="x14">
        <control shapeId="36875" r:id="rId19" name="Option Button 11">
          <controlPr defaultSize="0" autoFill="0" autoLine="0" autoPict="0">
            <anchor moveWithCells="1">
              <from>
                <xdr:col>5</xdr:col>
                <xdr:colOff>571500</xdr:colOff>
                <xdr:row>65</xdr:row>
                <xdr:rowOff>0</xdr:rowOff>
              </from>
              <to>
                <xdr:col>6</xdr:col>
                <xdr:colOff>0</xdr:colOff>
                <xdr:row>66</xdr:row>
                <xdr:rowOff>0</xdr:rowOff>
              </to>
            </anchor>
          </controlPr>
        </control>
      </mc:Choice>
    </mc:AlternateContent>
    <mc:AlternateContent xmlns:mc="http://schemas.openxmlformats.org/markup-compatibility/2006">
      <mc:Choice Requires="x14">
        <control shapeId="36876" r:id="rId20" name="Group Box 12">
          <controlPr defaultSize="0" autoFill="0" autoPict="0">
            <anchor moveWithCells="1">
              <from>
                <xdr:col>4</xdr:col>
                <xdr:colOff>361950</xdr:colOff>
                <xdr:row>65</xdr:row>
                <xdr:rowOff>0</xdr:rowOff>
              </from>
              <to>
                <xdr:col>6</xdr:col>
                <xdr:colOff>533400</xdr:colOff>
                <xdr:row>67</xdr:row>
                <xdr:rowOff>152400</xdr:rowOff>
              </to>
            </anchor>
          </controlPr>
        </control>
      </mc:Choice>
    </mc:AlternateContent>
    <mc:AlternateContent xmlns:mc="http://schemas.openxmlformats.org/markup-compatibility/2006">
      <mc:Choice Requires="x14">
        <control shapeId="36877" r:id="rId21" name="Group Box 13">
          <controlPr defaultSize="0" autoFill="0" autoPict="0">
            <anchor moveWithCells="1">
              <from>
                <xdr:col>0</xdr:col>
                <xdr:colOff>374650</xdr:colOff>
                <xdr:row>65</xdr:row>
                <xdr:rowOff>0</xdr:rowOff>
              </from>
              <to>
                <xdr:col>4</xdr:col>
                <xdr:colOff>260350</xdr:colOff>
                <xdr:row>68</xdr:row>
                <xdr:rowOff>95250</xdr:rowOff>
              </to>
            </anchor>
          </controlPr>
        </control>
      </mc:Choice>
    </mc:AlternateContent>
    <mc:AlternateContent xmlns:mc="http://schemas.openxmlformats.org/markup-compatibility/2006">
      <mc:Choice Requires="x14">
        <control shapeId="36878" r:id="rId22" name="Option Button 14">
          <controlPr defaultSize="0" autoFill="0" autoLine="0" autoPict="0">
            <anchor moveWithCells="1">
              <from>
                <xdr:col>4</xdr:col>
                <xdr:colOff>419100</xdr:colOff>
                <xdr:row>65</xdr:row>
                <xdr:rowOff>0</xdr:rowOff>
              </from>
              <to>
                <xdr:col>5</xdr:col>
                <xdr:colOff>50800</xdr:colOff>
                <xdr:row>66</xdr:row>
                <xdr:rowOff>50800</xdr:rowOff>
              </to>
            </anchor>
          </controlPr>
        </control>
      </mc:Choice>
    </mc:AlternateContent>
    <mc:AlternateContent xmlns:mc="http://schemas.openxmlformats.org/markup-compatibility/2006">
      <mc:Choice Requires="x14">
        <control shapeId="36879" r:id="rId23" name="Option Button 15">
          <controlPr defaultSize="0" autoFill="0" autoLine="0" autoPict="0">
            <anchor moveWithCells="1">
              <from>
                <xdr:col>5</xdr:col>
                <xdr:colOff>571500</xdr:colOff>
                <xdr:row>65</xdr:row>
                <xdr:rowOff>0</xdr:rowOff>
              </from>
              <to>
                <xdr:col>6</xdr:col>
                <xdr:colOff>0</xdr:colOff>
                <xdr:row>66</xdr:row>
                <xdr:rowOff>0</xdr:rowOff>
              </to>
            </anchor>
          </controlPr>
        </control>
      </mc:Choice>
    </mc:AlternateContent>
    <mc:AlternateContent xmlns:mc="http://schemas.openxmlformats.org/markup-compatibility/2006">
      <mc:Choice Requires="x14">
        <control shapeId="36880" r:id="rId24" name="Group Box 16">
          <controlPr defaultSize="0" autoFill="0" autoPict="0">
            <anchor moveWithCells="1">
              <from>
                <xdr:col>4</xdr:col>
                <xdr:colOff>266700</xdr:colOff>
                <xdr:row>65</xdr:row>
                <xdr:rowOff>0</xdr:rowOff>
              </from>
              <to>
                <xdr:col>6</xdr:col>
                <xdr:colOff>323850</xdr:colOff>
                <xdr:row>67</xdr:row>
                <xdr:rowOff>165100</xdr:rowOff>
              </to>
            </anchor>
          </controlPr>
        </control>
      </mc:Choice>
    </mc:AlternateContent>
    <mc:AlternateContent xmlns:mc="http://schemas.openxmlformats.org/markup-compatibility/2006">
      <mc:Choice Requires="x14">
        <control shapeId="36884" r:id="rId25" name="Group Box 20">
          <controlPr defaultSize="0" autoFill="0" autoPict="0">
            <anchor moveWithCells="1">
              <from>
                <xdr:col>0</xdr:col>
                <xdr:colOff>317500</xdr:colOff>
                <xdr:row>68</xdr:row>
                <xdr:rowOff>209550</xdr:rowOff>
              </from>
              <to>
                <xdr:col>4</xdr:col>
                <xdr:colOff>260350</xdr:colOff>
                <xdr:row>72</xdr:row>
                <xdr:rowOff>12700</xdr:rowOff>
              </to>
            </anchor>
          </controlPr>
        </control>
      </mc:Choice>
    </mc:AlternateContent>
    <mc:AlternateContent xmlns:mc="http://schemas.openxmlformats.org/markup-compatibility/2006">
      <mc:Choice Requires="x14">
        <control shapeId="36885" r:id="rId26" name="Option Button 21">
          <controlPr defaultSize="0" autoFill="0" autoLine="0" autoPict="0">
            <anchor moveWithCells="1">
              <from>
                <xdr:col>2</xdr:col>
                <xdr:colOff>889000</xdr:colOff>
                <xdr:row>38</xdr:row>
                <xdr:rowOff>127000</xdr:rowOff>
              </from>
              <to>
                <xdr:col>3</xdr:col>
                <xdr:colOff>889000</xdr:colOff>
                <xdr:row>39</xdr:row>
                <xdr:rowOff>127000</xdr:rowOff>
              </to>
            </anchor>
          </controlPr>
        </control>
      </mc:Choice>
    </mc:AlternateContent>
    <mc:AlternateContent xmlns:mc="http://schemas.openxmlformats.org/markup-compatibility/2006">
      <mc:Choice Requires="x14">
        <control shapeId="36886" r:id="rId27" name="Option Button 22">
          <controlPr defaultSize="0" autoFill="0" autoLine="0" autoPict="0">
            <anchor moveWithCells="1">
              <from>
                <xdr:col>2</xdr:col>
                <xdr:colOff>1041400</xdr:colOff>
                <xdr:row>38</xdr:row>
                <xdr:rowOff>69850</xdr:rowOff>
              </from>
              <to>
                <xdr:col>4</xdr:col>
                <xdr:colOff>184150</xdr:colOff>
                <xdr:row>39</xdr:row>
                <xdr:rowOff>69850</xdr:rowOff>
              </to>
            </anchor>
          </controlPr>
        </control>
      </mc:Choice>
    </mc:AlternateContent>
    <mc:AlternateContent xmlns:mc="http://schemas.openxmlformats.org/markup-compatibility/2006">
      <mc:Choice Requires="x14">
        <control shapeId="36887" r:id="rId28" name="Option Button 23">
          <controlPr defaultSize="0" autoFill="0" autoLine="0" autoPict="0">
            <anchor moveWithCells="1">
              <from>
                <xdr:col>4</xdr:col>
                <xdr:colOff>203200</xdr:colOff>
                <xdr:row>38</xdr:row>
                <xdr:rowOff>69850</xdr:rowOff>
              </from>
              <to>
                <xdr:col>5</xdr:col>
                <xdr:colOff>584200</xdr:colOff>
                <xdr:row>39</xdr:row>
                <xdr:rowOff>69850</xdr:rowOff>
              </to>
            </anchor>
          </controlPr>
        </control>
      </mc:Choice>
    </mc:AlternateContent>
    <mc:AlternateContent xmlns:mc="http://schemas.openxmlformats.org/markup-compatibility/2006">
      <mc:Choice Requires="x14">
        <control shapeId="36889" r:id="rId29" name="Group Box 25">
          <controlPr defaultSize="0" autoFill="0" autoPict="0">
            <anchor moveWithCells="1">
              <from>
                <xdr:col>2</xdr:col>
                <xdr:colOff>533400</xdr:colOff>
                <xdr:row>37</xdr:row>
                <xdr:rowOff>266700</xdr:rowOff>
              </from>
              <to>
                <xdr:col>14</xdr:col>
                <xdr:colOff>857250</xdr:colOff>
                <xdr:row>40</xdr:row>
                <xdr:rowOff>50800</xdr:rowOff>
              </to>
            </anchor>
          </controlPr>
        </control>
      </mc:Choice>
    </mc:AlternateContent>
    <mc:AlternateContent xmlns:mc="http://schemas.openxmlformats.org/markup-compatibility/2006">
      <mc:Choice Requires="x14">
        <control shapeId="36893" r:id="rId30" name="Group Box 29">
          <controlPr defaultSize="0" autoFill="0" autoPict="0">
            <anchor moveWithCells="1">
              <from>
                <xdr:col>0</xdr:col>
                <xdr:colOff>571500</xdr:colOff>
                <xdr:row>43</xdr:row>
                <xdr:rowOff>209550</xdr:rowOff>
              </from>
              <to>
                <xdr:col>4</xdr:col>
                <xdr:colOff>260350</xdr:colOff>
                <xdr:row>47</xdr:row>
                <xdr:rowOff>12700</xdr:rowOff>
              </to>
            </anchor>
          </controlPr>
        </control>
      </mc:Choice>
    </mc:AlternateContent>
    <mc:AlternateContent xmlns:mc="http://schemas.openxmlformats.org/markup-compatibility/2006">
      <mc:Choice Requires="x14">
        <control shapeId="36981" r:id="rId31" name="Check Box 117">
          <controlPr defaultSize="0" autoFill="0" autoLine="0" autoPict="0">
            <anchor moveWithCells="1">
              <from>
                <xdr:col>0</xdr:col>
                <xdr:colOff>1212850</xdr:colOff>
                <xdr:row>9</xdr:row>
                <xdr:rowOff>114300</xdr:rowOff>
              </from>
              <to>
                <xdr:col>2</xdr:col>
                <xdr:colOff>0</xdr:colOff>
                <xdr:row>9</xdr:row>
                <xdr:rowOff>374650</xdr:rowOff>
              </to>
            </anchor>
          </controlPr>
        </control>
      </mc:Choice>
    </mc:AlternateContent>
    <mc:AlternateContent xmlns:mc="http://schemas.openxmlformats.org/markup-compatibility/2006">
      <mc:Choice Requires="x14">
        <control shapeId="36982" r:id="rId32" name="Check Box 118">
          <controlPr defaultSize="0" autoFill="0" autoLine="0" autoPict="0">
            <anchor moveWithCells="1">
              <from>
                <xdr:col>3</xdr:col>
                <xdr:colOff>247650</xdr:colOff>
                <xdr:row>9</xdr:row>
                <xdr:rowOff>69850</xdr:rowOff>
              </from>
              <to>
                <xdr:col>3</xdr:col>
                <xdr:colOff>1066800</xdr:colOff>
                <xdr:row>10</xdr:row>
                <xdr:rowOff>0</xdr:rowOff>
              </to>
            </anchor>
          </controlPr>
        </control>
      </mc:Choice>
    </mc:AlternateContent>
    <mc:AlternateContent xmlns:mc="http://schemas.openxmlformats.org/markup-compatibility/2006">
      <mc:Choice Requires="x14">
        <control shapeId="36983" r:id="rId33" name="Check Box 119">
          <controlPr defaultSize="0" autoFill="0" autoLine="0" autoPict="0">
            <anchor moveWithCells="1">
              <from>
                <xdr:col>2</xdr:col>
                <xdr:colOff>0</xdr:colOff>
                <xdr:row>9</xdr:row>
                <xdr:rowOff>114300</xdr:rowOff>
              </from>
              <to>
                <xdr:col>2</xdr:col>
                <xdr:colOff>546100</xdr:colOff>
                <xdr:row>9</xdr:row>
                <xdr:rowOff>381000</xdr:rowOff>
              </to>
            </anchor>
          </controlPr>
        </control>
      </mc:Choice>
    </mc:AlternateContent>
    <mc:AlternateContent xmlns:mc="http://schemas.openxmlformats.org/markup-compatibility/2006">
      <mc:Choice Requires="x14">
        <control shapeId="36984" r:id="rId34" name="Check Box 120">
          <controlPr defaultSize="0" autoFill="0" autoLine="0" autoPict="0">
            <anchor moveWithCells="1">
              <from>
                <xdr:col>3</xdr:col>
                <xdr:colOff>1003300</xdr:colOff>
                <xdr:row>9</xdr:row>
                <xdr:rowOff>69850</xdr:rowOff>
              </from>
              <to>
                <xdr:col>5</xdr:col>
                <xdr:colOff>146050</xdr:colOff>
                <xdr:row>9</xdr:row>
                <xdr:rowOff>184150</xdr:rowOff>
              </to>
            </anchor>
          </controlPr>
        </control>
      </mc:Choice>
    </mc:AlternateContent>
  </control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dimension ref="A1:P194"/>
  <sheetViews>
    <sheetView showGridLines="0" zoomScale="90" zoomScaleNormal="90" workbookViewId="0">
      <selection sqref="A1:J1"/>
    </sheetView>
  </sheetViews>
  <sheetFormatPr defaultColWidth="0" defaultRowHeight="14.5" customHeight="1" zeroHeight="1"/>
  <cols>
    <col min="1" max="1" width="14.26953125" style="38" customWidth="1"/>
    <col min="2" max="2" width="9.54296875" style="38" customWidth="1"/>
    <col min="3" max="3" width="11.54296875" style="38" customWidth="1"/>
    <col min="4" max="4" width="15.453125" style="38" customWidth="1"/>
    <col min="5" max="5" width="10.54296875" style="38" customWidth="1"/>
    <col min="6" max="6" width="12" style="38" customWidth="1"/>
    <col min="7" max="7" width="11.54296875" style="38" customWidth="1"/>
    <col min="8" max="10" width="10.54296875" style="38" customWidth="1"/>
    <col min="11" max="11" width="19.54296875" style="38" customWidth="1"/>
    <col min="12" max="13" width="10.54296875" style="38" customWidth="1"/>
    <col min="14" max="14" width="9.1796875" style="38" customWidth="1"/>
    <col min="15" max="15" width="16.453125" style="38" customWidth="1"/>
    <col min="16" max="16" width="0.26953125" style="38" customWidth="1"/>
    <col min="17" max="16384" width="8.7265625" style="38" hidden="1"/>
  </cols>
  <sheetData>
    <row r="1" spans="1:16" ht="55" customHeight="1">
      <c r="A1" s="1410" t="str">
        <f>Development!$A$3&amp;" Residential Efficiency Program"</f>
        <v>2025 Residential Efficiency Program</v>
      </c>
      <c r="B1" s="1410"/>
      <c r="C1" s="1410"/>
      <c r="D1" s="1410"/>
      <c r="E1" s="1410"/>
      <c r="F1" s="1410"/>
      <c r="G1" s="1410"/>
      <c r="H1" s="1410"/>
      <c r="I1" s="1410"/>
      <c r="J1" s="1410"/>
      <c r="K1" s="6"/>
      <c r="L1" s="6"/>
      <c r="M1" s="6"/>
      <c r="N1" s="6"/>
      <c r="O1" s="6"/>
    </row>
    <row r="2" spans="1:16" ht="55" customHeight="1">
      <c r="A2" s="1418" t="s">
        <v>100</v>
      </c>
      <c r="B2" s="1418"/>
      <c r="C2" s="1418"/>
      <c r="D2" s="1418"/>
      <c r="E2" s="1418"/>
      <c r="F2" s="1418"/>
      <c r="G2" s="1418"/>
      <c r="H2" s="1418"/>
      <c r="I2" s="1418"/>
      <c r="J2" s="1418"/>
      <c r="K2" s="7"/>
      <c r="L2" s="7"/>
      <c r="M2" s="7"/>
      <c r="N2" s="7"/>
      <c r="O2" s="7"/>
    </row>
    <row r="3" spans="1:16" s="23" customFormat="1" ht="23.5" thickBot="1">
      <c r="A3" s="23" t="s">
        <v>102</v>
      </c>
    </row>
    <row r="4" spans="1:16" s="24" customFormat="1" ht="18.75" customHeight="1"/>
    <row r="5" spans="1:16" s="7" customFormat="1" ht="18" customHeight="1">
      <c r="A5" s="19" t="s">
        <v>104</v>
      </c>
      <c r="B5" s="91" t="e">
        <f>#REF!</f>
        <v>#REF!</v>
      </c>
      <c r="C5" s="89"/>
      <c r="D5" s="89"/>
      <c r="E5" s="19"/>
      <c r="F5" s="19"/>
      <c r="G5" s="19" t="s">
        <v>57</v>
      </c>
      <c r="H5" s="1426" t="e">
        <f>IF(#REF!="","",#REF!)</f>
        <v>#REF!</v>
      </c>
      <c r="I5" s="1426"/>
      <c r="J5" s="15"/>
    </row>
    <row r="6" spans="1:16" s="7" customFormat="1" ht="18" customHeight="1">
      <c r="A6" s="19"/>
      <c r="B6" s="19"/>
      <c r="C6" s="19"/>
      <c r="D6" s="19"/>
      <c r="E6" s="19"/>
      <c r="F6" s="19"/>
      <c r="G6" s="19"/>
      <c r="H6" s="19"/>
      <c r="I6" s="15"/>
      <c r="J6" s="15"/>
    </row>
    <row r="7" spans="1:16" s="7" customFormat="1" ht="18" customHeight="1">
      <c r="A7" s="38"/>
      <c r="B7" s="19"/>
      <c r="C7" s="38"/>
      <c r="D7" s="19"/>
      <c r="E7" s="19"/>
      <c r="F7" s="19"/>
      <c r="G7" s="19" t="s">
        <v>103</v>
      </c>
      <c r="H7" s="1426" t="e">
        <f>IF(#REF!="","",#REF!)</f>
        <v>#REF!</v>
      </c>
      <c r="I7" s="1426"/>
      <c r="J7" s="15"/>
    </row>
    <row r="8" spans="1:16" s="20" customFormat="1" ht="23">
      <c r="A8" s="21" t="s">
        <v>101</v>
      </c>
      <c r="M8" s="13"/>
    </row>
    <row r="9" spans="1:16" s="7" customFormat="1" ht="30.5">
      <c r="A9" s="15"/>
      <c r="B9" s="65" t="s">
        <v>26</v>
      </c>
      <c r="C9" s="66"/>
      <c r="D9" s="65" t="s">
        <v>27</v>
      </c>
      <c r="E9" s="67"/>
      <c r="F9" s="15"/>
      <c r="G9" s="15"/>
      <c r="H9" s="15"/>
      <c r="I9" s="15"/>
      <c r="J9" s="15"/>
    </row>
    <row r="10" spans="1:16" s="7" customFormat="1" ht="24" customHeight="1">
      <c r="B10" s="22"/>
      <c r="C10" s="22"/>
      <c r="D10" s="22"/>
      <c r="E10" s="67"/>
      <c r="F10" s="38"/>
      <c r="G10" s="17"/>
      <c r="H10" s="17"/>
      <c r="I10" s="38"/>
    </row>
    <row r="11" spans="1:16" s="18" customFormat="1" ht="23.5" thickBot="1">
      <c r="A11" s="18" t="s">
        <v>48</v>
      </c>
    </row>
    <row r="12" spans="1:16" ht="6.75" customHeight="1">
      <c r="A12" s="4"/>
      <c r="B12" s="5"/>
      <c r="C12" s="5"/>
      <c r="D12" s="5"/>
      <c r="E12" s="5"/>
      <c r="F12" s="5"/>
      <c r="G12" s="5"/>
      <c r="H12" s="5"/>
      <c r="I12" s="5"/>
      <c r="J12" s="5"/>
      <c r="K12" s="5"/>
      <c r="L12" s="5"/>
      <c r="M12" s="5"/>
      <c r="N12" s="5"/>
      <c r="O12" s="5"/>
    </row>
    <row r="13" spans="1:16" ht="27.75" customHeight="1">
      <c r="A13" s="126" t="s">
        <v>299</v>
      </c>
      <c r="B13" s="5"/>
      <c r="C13" s="5"/>
      <c r="D13" s="5"/>
      <c r="E13" s="5"/>
      <c r="F13" s="5"/>
      <c r="G13" s="5"/>
      <c r="H13" s="5"/>
      <c r="I13" s="5"/>
      <c r="J13" s="5"/>
      <c r="K13" s="5"/>
      <c r="L13" s="5"/>
      <c r="M13" s="5"/>
      <c r="N13" s="5"/>
      <c r="O13" s="5"/>
    </row>
    <row r="14" spans="1:16" ht="27.75" customHeight="1">
      <c r="A14" s="126"/>
      <c r="B14" s="5"/>
      <c r="C14" s="5"/>
      <c r="D14" s="5"/>
      <c r="E14" s="5"/>
      <c r="F14" s="5"/>
      <c r="G14" s="5"/>
      <c r="H14" s="5"/>
      <c r="I14" s="5"/>
      <c r="J14" s="5"/>
      <c r="K14" s="5"/>
      <c r="L14" s="5"/>
      <c r="M14" s="5"/>
      <c r="N14" s="5"/>
      <c r="O14" s="5"/>
      <c r="P14" s="5"/>
    </row>
    <row r="15" spans="1:16" ht="33.65" customHeight="1">
      <c r="A15" s="38" t="s">
        <v>334</v>
      </c>
      <c r="E15" s="1211"/>
      <c r="F15" s="1211"/>
      <c r="G15" s="38" t="str">
        <f>IF(OR(E15=""),"",'Air Flow References'!P4)</f>
        <v/>
      </c>
      <c r="L15" s="39" t="s">
        <v>335</v>
      </c>
      <c r="M15" s="1403"/>
      <c r="N15" s="1403"/>
      <c r="O15" s="38" t="str">
        <f>IF(OR(M15=""),"",'Air Flow References'!P6)</f>
        <v/>
      </c>
    </row>
    <row r="16" spans="1:16" ht="33.65" customHeight="1"/>
    <row r="17" spans="1:15" ht="33.65" customHeight="1">
      <c r="A17" s="125" t="s">
        <v>351</v>
      </c>
    </row>
    <row r="18" spans="1:15" ht="33.65" customHeight="1">
      <c r="A18" s="1354" t="s">
        <v>336</v>
      </c>
      <c r="B18" s="1354"/>
      <c r="C18" s="1354"/>
      <c r="D18" s="1354"/>
      <c r="E18" s="1404"/>
      <c r="F18" s="1404"/>
      <c r="G18" s="38" t="str">
        <f>IF(OR(E18=""),"",'Air Flow References'!P5)</f>
        <v/>
      </c>
      <c r="H18" s="41"/>
      <c r="I18" s="41" t="s">
        <v>296</v>
      </c>
      <c r="L18" s="39" t="s">
        <v>337</v>
      </c>
      <c r="M18" s="1211"/>
      <c r="N18" s="1211"/>
      <c r="O18" s="38" t="str">
        <f>IF(OR(M18=""),"",'Air Flow References'!P7)</f>
        <v/>
      </c>
    </row>
    <row r="19" spans="1:15" ht="33.65" customHeight="1"/>
    <row r="20" spans="1:15" ht="33.65" customHeight="1">
      <c r="A20" s="38" t="s">
        <v>340</v>
      </c>
      <c r="E20" s="1422"/>
      <c r="F20" s="1422"/>
    </row>
    <row r="21" spans="1:15" ht="33.65" customHeight="1"/>
    <row r="22" spans="1:15" ht="33.65" customHeight="1">
      <c r="A22" s="38" t="s">
        <v>341</v>
      </c>
      <c r="E22" s="1403"/>
      <c r="F22" s="1403"/>
      <c r="G22" s="38" t="str">
        <f>IF(OR(E22=""),"",'Air Flow References'!P9)</f>
        <v/>
      </c>
      <c r="H22" s="68"/>
      <c r="I22" s="68"/>
      <c r="J22" s="68"/>
      <c r="K22" s="68"/>
    </row>
    <row r="23" spans="1:15" ht="33.65" customHeight="1">
      <c r="A23" s="137" t="s">
        <v>353</v>
      </c>
      <c r="E23" s="140"/>
      <c r="F23" s="140"/>
    </row>
    <row r="24" spans="1:15" ht="33.65" customHeight="1">
      <c r="E24" s="140"/>
      <c r="F24" s="140"/>
    </row>
    <row r="25" spans="1:15" ht="33.65" customHeight="1">
      <c r="A25" s="38" t="s">
        <v>342</v>
      </c>
      <c r="E25" s="1403"/>
      <c r="F25" s="1403"/>
      <c r="G25" s="38" t="str">
        <f>IF(OR(E25=""),"",'Air Flow References'!P8)</f>
        <v/>
      </c>
    </row>
    <row r="26" spans="1:15" ht="33.65" customHeight="1">
      <c r="A26" s="137" t="s">
        <v>354</v>
      </c>
      <c r="E26" s="140"/>
      <c r="F26" s="140"/>
    </row>
    <row r="27" spans="1:15" ht="33.65" customHeight="1">
      <c r="A27" s="137"/>
      <c r="E27" s="140"/>
      <c r="F27" s="140"/>
    </row>
    <row r="28" spans="1:15" ht="33.65" customHeight="1">
      <c r="A28" s="137"/>
      <c r="E28" s="140"/>
      <c r="F28" s="140"/>
    </row>
    <row r="29" spans="1:15">
      <c r="A29" s="1354" t="s">
        <v>44</v>
      </c>
      <c r="B29" s="1354"/>
      <c r="C29" s="1354"/>
      <c r="D29" s="1354"/>
      <c r="E29" s="1354"/>
      <c r="F29" s="1354"/>
      <c r="G29" s="1354"/>
      <c r="H29" s="1354"/>
      <c r="I29" s="1354"/>
      <c r="J29" s="1354"/>
      <c r="K29" s="1354"/>
      <c r="L29" s="1354"/>
      <c r="M29" s="1354"/>
    </row>
    <row r="30" spans="1:15" ht="33.65" customHeight="1">
      <c r="A30" s="38" t="s">
        <v>45</v>
      </c>
      <c r="C30" s="1409"/>
      <c r="D30" s="1409"/>
      <c r="E30" s="1409"/>
      <c r="F30" s="1409"/>
      <c r="G30" s="1409"/>
      <c r="H30" s="1409"/>
      <c r="I30" s="1409"/>
      <c r="J30" s="1409"/>
      <c r="K30" s="1409"/>
      <c r="L30" s="1409"/>
    </row>
    <row r="31" spans="1:15"/>
    <row r="32" spans="1:15">
      <c r="A32" s="41" t="s">
        <v>47</v>
      </c>
    </row>
    <row r="33" spans="1:15">
      <c r="A33" s="38" t="s">
        <v>1514</v>
      </c>
    </row>
    <row r="34" spans="1:15">
      <c r="A34" s="38" t="s">
        <v>46</v>
      </c>
    </row>
    <row r="35" spans="1:15"/>
    <row r="36" spans="1:15" ht="23.5" thickBot="1">
      <c r="A36" s="18" t="s">
        <v>178</v>
      </c>
      <c r="B36" s="18"/>
      <c r="C36" s="18"/>
      <c r="D36" s="18"/>
      <c r="E36" s="18"/>
      <c r="F36" s="18"/>
      <c r="G36" s="18"/>
      <c r="H36" s="18"/>
      <c r="I36" s="18"/>
      <c r="J36" s="18"/>
      <c r="K36" s="18"/>
      <c r="L36" s="18"/>
      <c r="M36" s="18"/>
      <c r="N36" s="18"/>
      <c r="O36" s="18"/>
    </row>
    <row r="37" spans="1:15" ht="23">
      <c r="A37" s="4"/>
      <c r="B37" s="4"/>
      <c r="C37" s="4"/>
      <c r="D37" s="4"/>
      <c r="E37" s="4"/>
      <c r="F37" s="4"/>
      <c r="G37" s="4"/>
      <c r="H37" s="4"/>
      <c r="I37" s="4"/>
      <c r="J37" s="4"/>
      <c r="K37" s="4"/>
      <c r="L37" s="4"/>
      <c r="M37" s="4"/>
      <c r="N37" s="4"/>
      <c r="O37" s="4"/>
    </row>
    <row r="38" spans="1:15" ht="23">
      <c r="A38" s="3" t="s">
        <v>73</v>
      </c>
      <c r="B38" s="4"/>
      <c r="C38" s="4"/>
      <c r="D38" s="4"/>
      <c r="E38" s="4"/>
      <c r="F38" s="4"/>
      <c r="G38" s="4"/>
      <c r="H38" s="4"/>
      <c r="I38" s="1424"/>
      <c r="J38" s="1424"/>
      <c r="K38" s="4"/>
      <c r="L38" s="4"/>
      <c r="M38" s="4"/>
    </row>
    <row r="39" spans="1:15" ht="23">
      <c r="A39" s="4"/>
      <c r="B39" s="4"/>
      <c r="C39" s="4"/>
      <c r="D39" s="4"/>
      <c r="E39" s="4"/>
      <c r="F39" s="4"/>
      <c r="G39" s="4"/>
      <c r="H39" s="4"/>
      <c r="I39" s="4"/>
      <c r="J39" s="4"/>
      <c r="K39" s="4"/>
      <c r="L39" s="4"/>
      <c r="M39" s="4"/>
      <c r="N39" s="4"/>
      <c r="O39" s="4"/>
    </row>
    <row r="40" spans="1:15">
      <c r="A40" s="42" t="s">
        <v>164</v>
      </c>
      <c r="B40" s="42"/>
      <c r="C40" s="42"/>
      <c r="D40" s="42"/>
      <c r="E40" s="42"/>
      <c r="F40" s="42"/>
      <c r="G40" s="42"/>
      <c r="H40" s="42"/>
      <c r="I40" s="42"/>
      <c r="J40" s="42"/>
      <c r="K40" s="42"/>
      <c r="L40" s="42"/>
      <c r="M40" s="42"/>
      <c r="N40" s="42"/>
      <c r="O40" s="42"/>
    </row>
    <row r="41" spans="1:15">
      <c r="A41" s="43"/>
      <c r="B41" s="44"/>
      <c r="C41" s="44"/>
      <c r="D41" s="44"/>
      <c r="E41" s="44"/>
      <c r="F41" s="44"/>
      <c r="G41" s="44"/>
      <c r="H41" s="44"/>
      <c r="I41" s="44"/>
      <c r="J41" s="44"/>
      <c r="K41" s="44"/>
      <c r="L41" s="44"/>
      <c r="M41" s="44"/>
      <c r="N41" s="44"/>
    </row>
    <row r="42" spans="1:15">
      <c r="A42" s="48" t="s">
        <v>71</v>
      </c>
    </row>
    <row r="43" spans="1:15">
      <c r="A43" s="45" t="s">
        <v>72</v>
      </c>
    </row>
    <row r="44" spans="1:15">
      <c r="A44" s="45"/>
    </row>
    <row r="45" spans="1:15">
      <c r="A45" s="45"/>
      <c r="E45" s="1417"/>
      <c r="F45" s="1417"/>
    </row>
    <row r="46" spans="1:15">
      <c r="A46" s="45"/>
    </row>
    <row r="47" spans="1:15">
      <c r="A47" s="45"/>
    </row>
    <row r="48" spans="1:15">
      <c r="A48" s="45"/>
    </row>
    <row r="49" spans="1:7">
      <c r="A49" s="45"/>
      <c r="B49" s="38" t="s">
        <v>86</v>
      </c>
      <c r="E49" s="90"/>
      <c r="F49" s="38" t="s">
        <v>77</v>
      </c>
      <c r="G49" s="38" t="str">
        <f>IF(OR(E49=""),"",'Air Flow References'!P16)</f>
        <v/>
      </c>
    </row>
    <row r="50" spans="1:7">
      <c r="A50" s="45"/>
    </row>
    <row r="51" spans="1:7">
      <c r="A51" s="45"/>
      <c r="B51" s="38" t="s">
        <v>87</v>
      </c>
      <c r="E51" s="90"/>
      <c r="F51" s="50" t="s">
        <v>77</v>
      </c>
      <c r="G51" s="38" t="str">
        <f>IF(OR(E51=""),"",'Air Flow References'!P17)</f>
        <v/>
      </c>
    </row>
    <row r="52" spans="1:7">
      <c r="A52" s="45"/>
    </row>
    <row r="53" spans="1:7">
      <c r="A53" s="48" t="s">
        <v>78</v>
      </c>
    </row>
    <row r="54" spans="1:7">
      <c r="A54" s="48"/>
    </row>
    <row r="55" spans="1:7">
      <c r="A55" s="45" t="s">
        <v>88</v>
      </c>
      <c r="E55" s="90"/>
      <c r="F55" s="38" t="s">
        <v>82</v>
      </c>
      <c r="G55" s="38" t="str">
        <f>IF(OR(E55=""),"",'Air Flow References'!P18)</f>
        <v/>
      </c>
    </row>
    <row r="56" spans="1:7">
      <c r="A56" s="45"/>
    </row>
    <row r="57" spans="1:7">
      <c r="A57" s="45" t="s">
        <v>89</v>
      </c>
      <c r="E57" s="90"/>
      <c r="F57" s="38" t="s">
        <v>77</v>
      </c>
      <c r="G57" s="38" t="str">
        <f>IF(OR(E57=""),"",'Air Flow References'!P19)</f>
        <v/>
      </c>
    </row>
    <row r="58" spans="1:7">
      <c r="A58" s="45"/>
    </row>
    <row r="59" spans="1:7">
      <c r="A59" s="45" t="s">
        <v>90</v>
      </c>
      <c r="E59" s="90"/>
      <c r="F59" s="38" t="s">
        <v>77</v>
      </c>
      <c r="G59" s="38" t="str">
        <f>IF(OR(E59=""),"",'Air Flow References'!P20)</f>
        <v/>
      </c>
    </row>
    <row r="60" spans="1:7">
      <c r="A60" s="45"/>
    </row>
    <row r="61" spans="1:7">
      <c r="A61" s="45" t="s">
        <v>91</v>
      </c>
      <c r="E61" s="92" t="str">
        <f>IF(OR(E57="",E59=""),"",E57-E59)</f>
        <v/>
      </c>
      <c r="F61" s="38" t="s">
        <v>77</v>
      </c>
      <c r="G61" s="38" t="str">
        <f>'Air Flow References'!P21</f>
        <v/>
      </c>
    </row>
    <row r="62" spans="1:7">
      <c r="A62" s="45"/>
    </row>
    <row r="63" spans="1:7">
      <c r="A63" s="51" t="s">
        <v>92</v>
      </c>
    </row>
    <row r="64" spans="1:7">
      <c r="A64" s="45"/>
    </row>
    <row r="65" spans="1:15">
      <c r="A65" s="52" t="s">
        <v>93</v>
      </c>
      <c r="B65" s="53"/>
      <c r="C65" s="53"/>
      <c r="D65" s="53"/>
      <c r="E65" s="53"/>
      <c r="F65" s="53"/>
      <c r="G65" s="53"/>
      <c r="H65" s="53"/>
      <c r="I65" s="53"/>
      <c r="J65" s="53"/>
      <c r="K65" s="53"/>
      <c r="L65" s="53"/>
      <c r="M65" s="53"/>
      <c r="N65" s="53"/>
    </row>
    <row r="66" spans="1:15">
      <c r="A66" s="42" t="s">
        <v>199</v>
      </c>
      <c r="B66" s="42"/>
      <c r="C66" s="42"/>
      <c r="D66" s="42"/>
      <c r="E66" s="42"/>
      <c r="F66" s="42"/>
      <c r="G66" s="42"/>
      <c r="H66" s="42"/>
      <c r="I66" s="42"/>
      <c r="J66" s="42"/>
      <c r="K66" s="42"/>
      <c r="L66" s="42"/>
      <c r="M66" s="42"/>
      <c r="N66" s="42"/>
      <c r="O66" s="42"/>
    </row>
    <row r="67" spans="1:15">
      <c r="A67" s="43"/>
      <c r="B67" s="44"/>
      <c r="C67" s="44"/>
      <c r="D67" s="44"/>
      <c r="E67" s="44"/>
      <c r="F67" s="44"/>
      <c r="G67" s="44"/>
      <c r="H67" s="44"/>
      <c r="I67" s="44"/>
      <c r="J67" s="44"/>
      <c r="K67" s="44"/>
      <c r="L67" s="44"/>
      <c r="M67" s="44"/>
      <c r="N67" s="44"/>
    </row>
    <row r="68" spans="1:15">
      <c r="A68" s="48" t="s">
        <v>71</v>
      </c>
    </row>
    <row r="69" spans="1:15">
      <c r="A69" s="45" t="s">
        <v>72</v>
      </c>
    </row>
    <row r="70" spans="1:15">
      <c r="A70" s="45"/>
    </row>
    <row r="71" spans="1:15">
      <c r="A71" s="45"/>
      <c r="E71" s="1417"/>
      <c r="F71" s="1417"/>
    </row>
    <row r="72" spans="1:15">
      <c r="A72" s="45"/>
    </row>
    <row r="73" spans="1:15">
      <c r="A73" s="45"/>
    </row>
    <row r="74" spans="1:15">
      <c r="A74" s="45"/>
      <c r="B74" s="38" t="s">
        <v>74</v>
      </c>
      <c r="E74" s="90"/>
      <c r="F74" s="38" t="s">
        <v>298</v>
      </c>
      <c r="G74" s="148" t="str">
        <f>IF(OR(E74=""),"",'Air Flow References'!P28)</f>
        <v/>
      </c>
    </row>
    <row r="75" spans="1:15">
      <c r="A75" s="45"/>
      <c r="B75" s="38" t="s">
        <v>297</v>
      </c>
      <c r="E75" s="143"/>
      <c r="G75" s="49"/>
    </row>
    <row r="76" spans="1:15">
      <c r="A76" s="45"/>
    </row>
    <row r="77" spans="1:15">
      <c r="A77" s="45"/>
      <c r="B77" s="38" t="s">
        <v>75</v>
      </c>
      <c r="E77" s="90"/>
      <c r="F77" s="38" t="s">
        <v>77</v>
      </c>
      <c r="G77" s="38" t="str">
        <f>IF(OR(E77=""),"",'Air Flow References'!P29)</f>
        <v/>
      </c>
    </row>
    <row r="78" spans="1:15">
      <c r="A78" s="45"/>
    </row>
    <row r="79" spans="1:15">
      <c r="A79" s="45"/>
      <c r="B79" s="38" t="s">
        <v>76</v>
      </c>
      <c r="E79" s="90"/>
      <c r="F79" s="50" t="s">
        <v>77</v>
      </c>
      <c r="G79" s="38" t="str">
        <f>IF(OR(E79=""),"",'Air Flow References'!P30)</f>
        <v/>
      </c>
    </row>
    <row r="80" spans="1:15">
      <c r="A80" s="45"/>
    </row>
    <row r="81" spans="1:15">
      <c r="A81" s="45"/>
    </row>
    <row r="82" spans="1:15">
      <c r="A82" s="48" t="s">
        <v>78</v>
      </c>
    </row>
    <row r="83" spans="1:15">
      <c r="A83" s="45"/>
    </row>
    <row r="84" spans="1:15">
      <c r="A84" s="45" t="s">
        <v>79</v>
      </c>
      <c r="E84" s="90"/>
      <c r="F84" s="38" t="s">
        <v>82</v>
      </c>
      <c r="G84" s="38" t="str">
        <f>IF(OR(E84=""),"",'Air Flow References'!P31)</f>
        <v/>
      </c>
    </row>
    <row r="85" spans="1:15">
      <c r="A85" s="45"/>
    </row>
    <row r="86" spans="1:15">
      <c r="A86" s="45" t="s">
        <v>80</v>
      </c>
      <c r="E86" s="90"/>
      <c r="F86" s="50" t="s">
        <v>77</v>
      </c>
      <c r="G86" s="38" t="str">
        <f>IF(OR(E86=""),"",'Air Flow References'!P32)</f>
        <v/>
      </c>
    </row>
    <row r="87" spans="1:15">
      <c r="A87" s="45"/>
    </row>
    <row r="88" spans="1:15">
      <c r="A88" s="45" t="s">
        <v>81</v>
      </c>
      <c r="E88" s="90"/>
      <c r="F88" s="50" t="s">
        <v>77</v>
      </c>
      <c r="G88" s="38" t="str">
        <f>IF(OR(E88=""),"",'Air Flow References'!P33)</f>
        <v/>
      </c>
    </row>
    <row r="89" spans="1:15">
      <c r="A89" s="45"/>
    </row>
    <row r="90" spans="1:15">
      <c r="A90" s="45" t="s">
        <v>83</v>
      </c>
      <c r="E90" s="92" t="str">
        <f>IF(OR(E86="",E88=""),"",E88-E86)</f>
        <v/>
      </c>
      <c r="F90" s="50" t="s">
        <v>77</v>
      </c>
      <c r="G90" s="38" t="str">
        <f>'Air Flow References'!P34</f>
        <v/>
      </c>
    </row>
    <row r="91" spans="1:15">
      <c r="A91" s="45"/>
    </row>
    <row r="92" spans="1:15">
      <c r="A92" s="51" t="s">
        <v>84</v>
      </c>
    </row>
    <row r="93" spans="1:15">
      <c r="A93" s="45"/>
    </row>
    <row r="94" spans="1:15">
      <c r="A94" s="41" t="s">
        <v>85</v>
      </c>
    </row>
    <row r="95" spans="1:15">
      <c r="A95" s="42" t="s">
        <v>575</v>
      </c>
      <c r="B95" s="42"/>
      <c r="C95" s="42"/>
      <c r="D95" s="42"/>
      <c r="E95" s="42"/>
      <c r="F95" s="42"/>
      <c r="G95" s="42"/>
      <c r="H95" s="42"/>
      <c r="I95" s="42"/>
      <c r="J95" s="42"/>
      <c r="K95" s="42"/>
      <c r="L95" s="42"/>
      <c r="M95" s="42"/>
      <c r="N95" s="42"/>
      <c r="O95" s="42"/>
    </row>
    <row r="96" spans="1:15">
      <c r="A96" s="43"/>
      <c r="B96" s="44"/>
      <c r="C96" s="44"/>
      <c r="D96" s="44"/>
      <c r="E96" s="44"/>
      <c r="F96" s="44"/>
      <c r="G96" s="44"/>
      <c r="H96" s="44"/>
      <c r="I96" s="44"/>
      <c r="J96" s="44"/>
      <c r="K96" s="44"/>
      <c r="L96" s="44"/>
      <c r="M96" s="44"/>
      <c r="N96" s="44"/>
    </row>
    <row r="97" spans="1:14">
      <c r="A97" s="45" t="s">
        <v>49</v>
      </c>
    </row>
    <row r="98" spans="1:14" ht="9.75" customHeight="1">
      <c r="A98" s="45"/>
    </row>
    <row r="99" spans="1:14" ht="15.75" customHeight="1">
      <c r="A99" s="45"/>
      <c r="E99" s="1211"/>
      <c r="F99" s="1211"/>
      <c r="G99" s="38" t="s">
        <v>50</v>
      </c>
    </row>
    <row r="100" spans="1:14">
      <c r="A100" s="1397" t="s">
        <v>1432</v>
      </c>
      <c r="B100" s="1124"/>
    </row>
    <row r="101" spans="1:14">
      <c r="A101" s="1397"/>
      <c r="B101" s="1124"/>
      <c r="C101" s="463"/>
      <c r="D101" s="38" t="s">
        <v>1515</v>
      </c>
      <c r="E101" s="463"/>
      <c r="F101" s="38" t="s">
        <v>1516</v>
      </c>
    </row>
    <row r="102" spans="1:14">
      <c r="A102" s="45"/>
    </row>
    <row r="103" spans="1:14">
      <c r="A103" s="45"/>
    </row>
    <row r="104" spans="1:14">
      <c r="A104" s="45" t="s">
        <v>1517</v>
      </c>
      <c r="E104" s="295"/>
    </row>
    <row r="105" spans="1:14">
      <c r="A105" s="45"/>
    </row>
    <row r="106" spans="1:14">
      <c r="A106" s="45"/>
    </row>
    <row r="107" spans="1:14">
      <c r="A107" s="45" t="s">
        <v>59</v>
      </c>
      <c r="E107" s="295"/>
    </row>
    <row r="108" spans="1:14">
      <c r="A108" s="45"/>
    </row>
    <row r="109" spans="1:14">
      <c r="A109" s="45"/>
    </row>
    <row r="110" spans="1:14">
      <c r="A110" s="45" t="s">
        <v>1433</v>
      </c>
      <c r="C110" s="463"/>
      <c r="D110" s="38" t="s">
        <v>60</v>
      </c>
    </row>
    <row r="111" spans="1:14">
      <c r="A111" s="45"/>
    </row>
    <row r="112" spans="1:14">
      <c r="A112" s="45" t="s">
        <v>61</v>
      </c>
      <c r="D112" s="504"/>
      <c r="E112" s="38" t="s">
        <v>62</v>
      </c>
      <c r="F112" s="38" t="s">
        <v>63</v>
      </c>
      <c r="G112" s="460"/>
      <c r="H112" s="38" t="s">
        <v>60</v>
      </c>
      <c r="I112" s="38" t="s">
        <v>64</v>
      </c>
      <c r="J112" s="434"/>
      <c r="K112" s="38" t="s">
        <v>65</v>
      </c>
      <c r="L112" s="46" t="s">
        <v>66</v>
      </c>
      <c r="M112" s="460"/>
      <c r="N112" s="38" t="s">
        <v>67</v>
      </c>
    </row>
    <row r="113" spans="1:15">
      <c r="A113" s="45"/>
      <c r="L113" s="46"/>
    </row>
    <row r="114" spans="1:15">
      <c r="A114" s="45" t="s">
        <v>142</v>
      </c>
      <c r="D114" s="504"/>
      <c r="E114" s="38" t="s">
        <v>62</v>
      </c>
      <c r="F114" s="38" t="s">
        <v>63</v>
      </c>
      <c r="G114" s="460"/>
      <c r="H114" s="38" t="s">
        <v>60</v>
      </c>
      <c r="I114" s="38" t="s">
        <v>64</v>
      </c>
      <c r="J114" s="434"/>
      <c r="K114" s="38" t="s">
        <v>65</v>
      </c>
      <c r="L114" s="46" t="s">
        <v>66</v>
      </c>
      <c r="M114" s="460"/>
      <c r="N114" s="38" t="s">
        <v>67</v>
      </c>
    </row>
    <row r="115" spans="1:15">
      <c r="A115" s="45"/>
    </row>
    <row r="116" spans="1:15">
      <c r="A116" s="47" t="s">
        <v>190</v>
      </c>
      <c r="M116" s="460"/>
      <c r="N116" s="38" t="s">
        <v>67</v>
      </c>
    </row>
    <row r="117" spans="1:15">
      <c r="A117" s="45"/>
    </row>
    <row r="118" spans="1:15">
      <c r="A118" s="1401" t="s">
        <v>68</v>
      </c>
      <c r="B118" s="1399"/>
      <c r="C118" s="1399"/>
      <c r="D118" s="1399"/>
      <c r="E118" s="1402"/>
      <c r="F118" s="1398" t="s">
        <v>69</v>
      </c>
      <c r="G118" s="1398"/>
      <c r="H118" s="1398"/>
      <c r="I118" s="1398"/>
      <c r="J118" s="1398"/>
      <c r="K118" s="1398"/>
      <c r="L118" s="139"/>
      <c r="M118" s="1413" t="str">
        <f>IF(AND(M112="",M114="",M116=""),"",M112+M114+M116)</f>
        <v/>
      </c>
      <c r="N118" s="1399" t="s">
        <v>67</v>
      </c>
    </row>
    <row r="119" spans="1:15">
      <c r="A119" s="1401"/>
      <c r="B119" s="1399"/>
      <c r="C119" s="1399"/>
      <c r="D119" s="1399"/>
      <c r="E119" s="1402"/>
      <c r="F119" s="1398"/>
      <c r="G119" s="1398"/>
      <c r="H119" s="1398"/>
      <c r="I119" s="1398"/>
      <c r="J119" s="1398"/>
      <c r="K119" s="1398"/>
      <c r="L119" s="139"/>
      <c r="M119" s="1414"/>
      <c r="N119" s="1399"/>
    </row>
    <row r="120" spans="1:15">
      <c r="A120" s="45"/>
    </row>
    <row r="121" spans="1:15">
      <c r="A121" s="41" t="s">
        <v>70</v>
      </c>
    </row>
    <row r="122" spans="1:15"/>
    <row r="123" spans="1:15"/>
    <row r="124" spans="1:15"/>
    <row r="125" spans="1:15" ht="14.5" customHeight="1">
      <c r="A125" s="44" t="s">
        <v>165</v>
      </c>
      <c r="B125" s="44"/>
      <c r="C125" s="44" t="str">
        <f>Development!$A$4&amp;"_"&amp;Development!$A$2</f>
        <v>01.01.2025_1.0</v>
      </c>
      <c r="D125" s="44"/>
      <c r="E125" s="44"/>
      <c r="F125" s="44"/>
      <c r="G125" s="44"/>
      <c r="H125" s="44"/>
      <c r="I125" s="44"/>
      <c r="J125" s="44"/>
      <c r="K125" s="44"/>
      <c r="L125" s="44"/>
      <c r="M125" s="44" t="s">
        <v>167</v>
      </c>
      <c r="N125" s="44" t="str">
        <f>Development!A4</f>
        <v>01.01.2025</v>
      </c>
      <c r="O125" s="44"/>
    </row>
    <row r="168" ht="14.5" customHeight="1"/>
    <row r="169" ht="14.5" customHeight="1"/>
    <row r="170" ht="14.5" customHeight="1"/>
    <row r="171" ht="14.5" customHeight="1"/>
    <row r="172" ht="14.5" customHeight="1"/>
    <row r="173" ht="14.5" customHeight="1"/>
    <row r="174" ht="14.5" customHeight="1"/>
    <row r="175" ht="14.5" customHeight="1"/>
    <row r="176" ht="14.5" customHeight="1"/>
    <row r="177" ht="14.5" customHeight="1"/>
    <row r="178" ht="14.5" customHeight="1"/>
    <row r="179" ht="14.5" customHeight="1"/>
    <row r="180" ht="14.5" customHeight="1"/>
    <row r="181" ht="14.5" customHeight="1"/>
    <row r="182" ht="14.5" customHeight="1"/>
    <row r="183" ht="14.5" customHeight="1"/>
    <row r="184" ht="14.5" customHeight="1"/>
    <row r="185" ht="14.5" customHeight="1"/>
    <row r="186" ht="14.5" customHeight="1"/>
    <row r="187" ht="14.5" customHeight="1"/>
    <row r="188" ht="14.5" customHeight="1"/>
    <row r="189" ht="14.5" customHeight="1"/>
    <row r="190" ht="14.5" customHeight="1"/>
    <row r="191" ht="14.5" customHeight="1"/>
    <row r="192" ht="14.5" customHeight="1"/>
    <row r="193" ht="14.5" customHeight="1"/>
    <row r="194" ht="14.5" customHeight="1"/>
  </sheetData>
  <sheetProtection algorithmName="SHA-512" hashValue="1CTGxNJ2Xon7ZuRRpe1XVqT7usgXk/BAxD04j0JIVnbSLfabognI7x4UX9eql0ES8qAE65diw5hdWUxIEPpaWA==" saltValue="XS+NHc5RYsKgy1QrgipW5Q==" spinCount="100000" sheet="1" objects="1" scenarios="1"/>
  <mergeCells count="23">
    <mergeCell ref="M118:M119"/>
    <mergeCell ref="N118:N119"/>
    <mergeCell ref="E71:F71"/>
    <mergeCell ref="E45:F45"/>
    <mergeCell ref="E99:F99"/>
    <mergeCell ref="A118:E119"/>
    <mergeCell ref="F118:K119"/>
    <mergeCell ref="A100:B101"/>
    <mergeCell ref="E20:F20"/>
    <mergeCell ref="M18:N18"/>
    <mergeCell ref="E22:F22"/>
    <mergeCell ref="A29:M29"/>
    <mergeCell ref="I38:J38"/>
    <mergeCell ref="C30:L30"/>
    <mergeCell ref="E25:F25"/>
    <mergeCell ref="A1:J1"/>
    <mergeCell ref="A2:J2"/>
    <mergeCell ref="E15:F15"/>
    <mergeCell ref="M15:N15"/>
    <mergeCell ref="A18:D18"/>
    <mergeCell ref="E18:F18"/>
    <mergeCell ref="H5:I5"/>
    <mergeCell ref="H7:I7"/>
  </mergeCells>
  <pageMargins left="0.25" right="0.25" top="0.75" bottom="0.75" header="0.3" footer="0.3"/>
  <pageSetup scale="56" fitToHeight="4" orientation="portrait" r:id="rId1"/>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drawing r:id="rId2"/>
  <legacyDrawing r:id="rId3"/>
  <controls>
    <mc:AlternateContent xmlns:mc="http://schemas.openxmlformats.org/markup-compatibility/2006">
      <mc:Choice Requires="x14">
        <control shapeId="38946" r:id="rId4" name="CommandButton1">
          <controlPr defaultSize="0" autoLine="0" r:id="rId5">
            <anchor moveWithCells="1">
              <from>
                <xdr:col>11</xdr:col>
                <xdr:colOff>565150</xdr:colOff>
                <xdr:row>120</xdr:row>
                <xdr:rowOff>171450</xdr:rowOff>
              </from>
              <to>
                <xdr:col>14</xdr:col>
                <xdr:colOff>736600</xdr:colOff>
                <xdr:row>123</xdr:row>
                <xdr:rowOff>50800</xdr:rowOff>
              </to>
            </anchor>
          </controlPr>
        </control>
      </mc:Choice>
      <mc:Fallback>
        <control shapeId="38946" r:id="rId4" name="CommandButton1"/>
      </mc:Fallback>
    </mc:AlternateContent>
    <mc:AlternateContent xmlns:mc="http://schemas.openxmlformats.org/markup-compatibility/2006">
      <mc:Choice Requires="x14">
        <control shapeId="38939" r:id="rId6" name="OptionButton10">
          <controlPr defaultSize="0" autoLine="0" r:id="rId7">
            <anchor moveWithCells="1">
              <from>
                <xdr:col>1</xdr:col>
                <xdr:colOff>146050</xdr:colOff>
                <xdr:row>44</xdr:row>
                <xdr:rowOff>0</xdr:rowOff>
              </from>
              <to>
                <xdr:col>2</xdr:col>
                <xdr:colOff>114300</xdr:colOff>
                <xdr:row>45</xdr:row>
                <xdr:rowOff>88900</xdr:rowOff>
              </to>
            </anchor>
          </controlPr>
        </control>
      </mc:Choice>
      <mc:Fallback>
        <control shapeId="38939" r:id="rId6" name="OptionButton10"/>
      </mc:Fallback>
    </mc:AlternateContent>
    <mc:AlternateContent xmlns:mc="http://schemas.openxmlformats.org/markup-compatibility/2006">
      <mc:Choice Requires="x14">
        <control shapeId="38930" r:id="rId8" name="OptionButton7">
          <controlPr defaultSize="0" autoLine="0" r:id="rId9">
            <anchor moveWithCells="1">
              <from>
                <xdr:col>1</xdr:col>
                <xdr:colOff>0</xdr:colOff>
                <xdr:row>70</xdr:row>
                <xdr:rowOff>0</xdr:rowOff>
              </from>
              <to>
                <xdr:col>1</xdr:col>
                <xdr:colOff>641350</xdr:colOff>
                <xdr:row>71</xdr:row>
                <xdr:rowOff>88900</xdr:rowOff>
              </to>
            </anchor>
          </controlPr>
        </control>
      </mc:Choice>
      <mc:Fallback>
        <control shapeId="38930" r:id="rId8" name="OptionButton7"/>
      </mc:Fallback>
    </mc:AlternateContent>
    <mc:AlternateContent xmlns:mc="http://schemas.openxmlformats.org/markup-compatibility/2006">
      <mc:Choice Requires="x14">
        <control shapeId="38914" r:id="rId10" name="OptionButton2">
          <controlPr defaultSize="0" autoLine="0" r:id="rId11">
            <anchor moveWithCells="1">
              <from>
                <xdr:col>6</xdr:col>
                <xdr:colOff>0</xdr:colOff>
                <xdr:row>19</xdr:row>
                <xdr:rowOff>260350</xdr:rowOff>
              </from>
              <to>
                <xdr:col>10</xdr:col>
                <xdr:colOff>203200</xdr:colOff>
                <xdr:row>20</xdr:row>
                <xdr:rowOff>260350</xdr:rowOff>
              </to>
            </anchor>
          </controlPr>
        </control>
      </mc:Choice>
      <mc:Fallback>
        <control shapeId="38914" r:id="rId10" name="OptionButton2"/>
      </mc:Fallback>
    </mc:AlternateContent>
    <mc:AlternateContent xmlns:mc="http://schemas.openxmlformats.org/markup-compatibility/2006">
      <mc:Choice Requires="x14">
        <control shapeId="38913" r:id="rId12" name="OptionButton1">
          <controlPr defaultSize="0" autoLine="0" autoPict="0" r:id="rId13">
            <anchor moveWithCells="1">
              <from>
                <xdr:col>2</xdr:col>
                <xdr:colOff>850900</xdr:colOff>
                <xdr:row>19</xdr:row>
                <xdr:rowOff>266700</xdr:rowOff>
              </from>
              <to>
                <xdr:col>6</xdr:col>
                <xdr:colOff>114300</xdr:colOff>
                <xdr:row>20</xdr:row>
                <xdr:rowOff>190500</xdr:rowOff>
              </to>
            </anchor>
          </controlPr>
        </control>
      </mc:Choice>
      <mc:Fallback>
        <control shapeId="38913" r:id="rId12" name="OptionButton1"/>
      </mc:Fallback>
    </mc:AlternateContent>
    <mc:AlternateContent xmlns:mc="http://schemas.openxmlformats.org/markup-compatibility/2006">
      <mc:Choice Requires="x14">
        <control shapeId="38915" r:id="rId14" name="Group Box 3">
          <controlPr defaultSize="0" autoFill="0" autoPict="0">
            <anchor moveWithCells="1">
              <from>
                <xdr:col>0</xdr:col>
                <xdr:colOff>12700</xdr:colOff>
                <xdr:row>20</xdr:row>
                <xdr:rowOff>0</xdr:rowOff>
              </from>
              <to>
                <xdr:col>7</xdr:col>
                <xdr:colOff>165100</xdr:colOff>
                <xdr:row>21</xdr:row>
                <xdr:rowOff>298450</xdr:rowOff>
              </to>
            </anchor>
          </controlPr>
        </control>
      </mc:Choice>
    </mc:AlternateContent>
    <mc:AlternateContent xmlns:mc="http://schemas.openxmlformats.org/markup-compatibility/2006">
      <mc:Choice Requires="x14">
        <control shapeId="38916" r:id="rId15" name="Check Box 4">
          <controlPr defaultSize="0" autoFill="0" autoLine="0" autoPict="0">
            <anchor moveWithCells="1">
              <from>
                <xdr:col>7</xdr:col>
                <xdr:colOff>533400</xdr:colOff>
                <xdr:row>21</xdr:row>
                <xdr:rowOff>165100</xdr:rowOff>
              </from>
              <to>
                <xdr:col>9</xdr:col>
                <xdr:colOff>50800</xdr:colOff>
                <xdr:row>22</xdr:row>
                <xdr:rowOff>0</xdr:rowOff>
              </to>
            </anchor>
          </controlPr>
        </control>
      </mc:Choice>
    </mc:AlternateContent>
    <mc:AlternateContent xmlns:mc="http://schemas.openxmlformats.org/markup-compatibility/2006">
      <mc:Choice Requires="x14">
        <control shapeId="38917" r:id="rId16" name="Check Box 5">
          <controlPr defaultSize="0" autoFill="0" autoLine="0" autoPict="0">
            <anchor moveWithCells="1">
              <from>
                <xdr:col>9</xdr:col>
                <xdr:colOff>419100</xdr:colOff>
                <xdr:row>21</xdr:row>
                <xdr:rowOff>165100</xdr:rowOff>
              </from>
              <to>
                <xdr:col>10</xdr:col>
                <xdr:colOff>990600</xdr:colOff>
                <xdr:row>22</xdr:row>
                <xdr:rowOff>0</xdr:rowOff>
              </to>
            </anchor>
          </controlPr>
        </control>
      </mc:Choice>
    </mc:AlternateContent>
    <mc:AlternateContent xmlns:mc="http://schemas.openxmlformats.org/markup-compatibility/2006">
      <mc:Choice Requires="x14">
        <control shapeId="38921" r:id="rId17" name="Group Box 9">
          <controlPr defaultSize="0" autoFill="0" autoPict="0">
            <anchor moveWithCells="1">
              <from>
                <xdr:col>0</xdr:col>
                <xdr:colOff>50800</xdr:colOff>
                <xdr:row>65</xdr:row>
                <xdr:rowOff>0</xdr:rowOff>
              </from>
              <to>
                <xdr:col>4</xdr:col>
                <xdr:colOff>323850</xdr:colOff>
                <xdr:row>69</xdr:row>
                <xdr:rowOff>107950</xdr:rowOff>
              </to>
            </anchor>
          </controlPr>
        </control>
      </mc:Choice>
    </mc:AlternateContent>
    <mc:AlternateContent xmlns:mc="http://schemas.openxmlformats.org/markup-compatibility/2006">
      <mc:Choice Requires="x14">
        <control shapeId="38922" r:id="rId18" name="Option Button 10">
          <controlPr defaultSize="0" autoFill="0" autoLine="0" autoPict="0">
            <anchor moveWithCells="1">
              <from>
                <xdr:col>4</xdr:col>
                <xdr:colOff>419100</xdr:colOff>
                <xdr:row>65</xdr:row>
                <xdr:rowOff>0</xdr:rowOff>
              </from>
              <to>
                <xdr:col>5</xdr:col>
                <xdr:colOff>50800</xdr:colOff>
                <xdr:row>66</xdr:row>
                <xdr:rowOff>50800</xdr:rowOff>
              </to>
            </anchor>
          </controlPr>
        </control>
      </mc:Choice>
    </mc:AlternateContent>
    <mc:AlternateContent xmlns:mc="http://schemas.openxmlformats.org/markup-compatibility/2006">
      <mc:Choice Requires="x14">
        <control shapeId="38923" r:id="rId19" name="Option Button 11">
          <controlPr defaultSize="0" autoFill="0" autoLine="0" autoPict="0">
            <anchor moveWithCells="1">
              <from>
                <xdr:col>5</xdr:col>
                <xdr:colOff>571500</xdr:colOff>
                <xdr:row>65</xdr:row>
                <xdr:rowOff>0</xdr:rowOff>
              </from>
              <to>
                <xdr:col>6</xdr:col>
                <xdr:colOff>0</xdr:colOff>
                <xdr:row>66</xdr:row>
                <xdr:rowOff>0</xdr:rowOff>
              </to>
            </anchor>
          </controlPr>
        </control>
      </mc:Choice>
    </mc:AlternateContent>
    <mc:AlternateContent xmlns:mc="http://schemas.openxmlformats.org/markup-compatibility/2006">
      <mc:Choice Requires="x14">
        <control shapeId="38924" r:id="rId20" name="Group Box 12">
          <controlPr defaultSize="0" autoFill="0" autoPict="0">
            <anchor moveWithCells="1">
              <from>
                <xdr:col>4</xdr:col>
                <xdr:colOff>361950</xdr:colOff>
                <xdr:row>65</xdr:row>
                <xdr:rowOff>0</xdr:rowOff>
              </from>
              <to>
                <xdr:col>6</xdr:col>
                <xdr:colOff>533400</xdr:colOff>
                <xdr:row>67</xdr:row>
                <xdr:rowOff>152400</xdr:rowOff>
              </to>
            </anchor>
          </controlPr>
        </control>
      </mc:Choice>
    </mc:AlternateContent>
    <mc:AlternateContent xmlns:mc="http://schemas.openxmlformats.org/markup-compatibility/2006">
      <mc:Choice Requires="x14">
        <control shapeId="38925" r:id="rId21" name="Group Box 13">
          <controlPr defaultSize="0" autoFill="0" autoPict="0">
            <anchor moveWithCells="1">
              <from>
                <xdr:col>0</xdr:col>
                <xdr:colOff>374650</xdr:colOff>
                <xdr:row>65</xdr:row>
                <xdr:rowOff>0</xdr:rowOff>
              </from>
              <to>
                <xdr:col>4</xdr:col>
                <xdr:colOff>323850</xdr:colOff>
                <xdr:row>68</xdr:row>
                <xdr:rowOff>107950</xdr:rowOff>
              </to>
            </anchor>
          </controlPr>
        </control>
      </mc:Choice>
    </mc:AlternateContent>
    <mc:AlternateContent xmlns:mc="http://schemas.openxmlformats.org/markup-compatibility/2006">
      <mc:Choice Requires="x14">
        <control shapeId="38926" r:id="rId22" name="Option Button 14">
          <controlPr defaultSize="0" autoFill="0" autoLine="0" autoPict="0">
            <anchor moveWithCells="1">
              <from>
                <xdr:col>4</xdr:col>
                <xdr:colOff>419100</xdr:colOff>
                <xdr:row>65</xdr:row>
                <xdr:rowOff>0</xdr:rowOff>
              </from>
              <to>
                <xdr:col>5</xdr:col>
                <xdr:colOff>50800</xdr:colOff>
                <xdr:row>66</xdr:row>
                <xdr:rowOff>50800</xdr:rowOff>
              </to>
            </anchor>
          </controlPr>
        </control>
      </mc:Choice>
    </mc:AlternateContent>
    <mc:AlternateContent xmlns:mc="http://schemas.openxmlformats.org/markup-compatibility/2006">
      <mc:Choice Requires="x14">
        <control shapeId="38927" r:id="rId23" name="Option Button 15">
          <controlPr defaultSize="0" autoFill="0" autoLine="0" autoPict="0">
            <anchor moveWithCells="1">
              <from>
                <xdr:col>5</xdr:col>
                <xdr:colOff>571500</xdr:colOff>
                <xdr:row>65</xdr:row>
                <xdr:rowOff>0</xdr:rowOff>
              </from>
              <to>
                <xdr:col>6</xdr:col>
                <xdr:colOff>0</xdr:colOff>
                <xdr:row>66</xdr:row>
                <xdr:rowOff>0</xdr:rowOff>
              </to>
            </anchor>
          </controlPr>
        </control>
      </mc:Choice>
    </mc:AlternateContent>
    <mc:AlternateContent xmlns:mc="http://schemas.openxmlformats.org/markup-compatibility/2006">
      <mc:Choice Requires="x14">
        <control shapeId="38928" r:id="rId24" name="Group Box 16">
          <controlPr defaultSize="0" autoFill="0" autoPict="0">
            <anchor moveWithCells="1">
              <from>
                <xdr:col>4</xdr:col>
                <xdr:colOff>266700</xdr:colOff>
                <xdr:row>65</xdr:row>
                <xdr:rowOff>0</xdr:rowOff>
              </from>
              <to>
                <xdr:col>6</xdr:col>
                <xdr:colOff>323850</xdr:colOff>
                <xdr:row>67</xdr:row>
                <xdr:rowOff>165100</xdr:rowOff>
              </to>
            </anchor>
          </controlPr>
        </control>
      </mc:Choice>
    </mc:AlternateContent>
    <mc:AlternateContent xmlns:mc="http://schemas.openxmlformats.org/markup-compatibility/2006">
      <mc:Choice Requires="x14">
        <control shapeId="38932" r:id="rId25" name="Group Box 20">
          <controlPr defaultSize="0" autoFill="0" autoPict="0">
            <anchor moveWithCells="1">
              <from>
                <xdr:col>0</xdr:col>
                <xdr:colOff>317500</xdr:colOff>
                <xdr:row>68</xdr:row>
                <xdr:rowOff>209550</xdr:rowOff>
              </from>
              <to>
                <xdr:col>4</xdr:col>
                <xdr:colOff>323850</xdr:colOff>
                <xdr:row>72</xdr:row>
                <xdr:rowOff>12700</xdr:rowOff>
              </to>
            </anchor>
          </controlPr>
        </control>
      </mc:Choice>
    </mc:AlternateContent>
    <mc:AlternateContent xmlns:mc="http://schemas.openxmlformats.org/markup-compatibility/2006">
      <mc:Choice Requires="x14">
        <control shapeId="38933" r:id="rId26" name="Option Button 21">
          <controlPr defaultSize="0" autoFill="0" autoLine="0" autoPict="0">
            <anchor moveWithCells="1">
              <from>
                <xdr:col>2</xdr:col>
                <xdr:colOff>889000</xdr:colOff>
                <xdr:row>37</xdr:row>
                <xdr:rowOff>127000</xdr:rowOff>
              </from>
              <to>
                <xdr:col>3</xdr:col>
                <xdr:colOff>889000</xdr:colOff>
                <xdr:row>38</xdr:row>
                <xdr:rowOff>127000</xdr:rowOff>
              </to>
            </anchor>
          </controlPr>
        </control>
      </mc:Choice>
    </mc:AlternateContent>
    <mc:AlternateContent xmlns:mc="http://schemas.openxmlformats.org/markup-compatibility/2006">
      <mc:Choice Requires="x14">
        <control shapeId="38934" r:id="rId27" name="Option Button 22">
          <controlPr defaultSize="0" autoFill="0" autoLine="0" autoPict="0">
            <anchor moveWithCells="1">
              <from>
                <xdr:col>2</xdr:col>
                <xdr:colOff>889000</xdr:colOff>
                <xdr:row>37</xdr:row>
                <xdr:rowOff>50800</xdr:rowOff>
              </from>
              <to>
                <xdr:col>4</xdr:col>
                <xdr:colOff>69850</xdr:colOff>
                <xdr:row>38</xdr:row>
                <xdr:rowOff>50800</xdr:rowOff>
              </to>
            </anchor>
          </controlPr>
        </control>
      </mc:Choice>
    </mc:AlternateContent>
    <mc:AlternateContent xmlns:mc="http://schemas.openxmlformats.org/markup-compatibility/2006">
      <mc:Choice Requires="x14">
        <control shapeId="38935" r:id="rId28" name="Option Button 23">
          <controlPr defaultSize="0" autoFill="0" autoLine="0" autoPict="0">
            <anchor moveWithCells="1">
              <from>
                <xdr:col>4</xdr:col>
                <xdr:colOff>114300</xdr:colOff>
                <xdr:row>37</xdr:row>
                <xdr:rowOff>50800</xdr:rowOff>
              </from>
              <to>
                <xdr:col>5</xdr:col>
                <xdr:colOff>527050</xdr:colOff>
                <xdr:row>38</xdr:row>
                <xdr:rowOff>50800</xdr:rowOff>
              </to>
            </anchor>
          </controlPr>
        </control>
      </mc:Choice>
    </mc:AlternateContent>
    <mc:AlternateContent xmlns:mc="http://schemas.openxmlformats.org/markup-compatibility/2006">
      <mc:Choice Requires="x14">
        <control shapeId="38937" r:id="rId29" name="Group Box 25">
          <controlPr defaultSize="0" autoFill="0" autoPict="0">
            <anchor moveWithCells="1">
              <from>
                <xdr:col>2</xdr:col>
                <xdr:colOff>533400</xdr:colOff>
                <xdr:row>36</xdr:row>
                <xdr:rowOff>266700</xdr:rowOff>
              </from>
              <to>
                <xdr:col>14</xdr:col>
                <xdr:colOff>895350</xdr:colOff>
                <xdr:row>39</xdr:row>
                <xdr:rowOff>50800</xdr:rowOff>
              </to>
            </anchor>
          </controlPr>
        </control>
      </mc:Choice>
    </mc:AlternateContent>
    <mc:AlternateContent xmlns:mc="http://schemas.openxmlformats.org/markup-compatibility/2006">
      <mc:Choice Requires="x14">
        <control shapeId="38941" r:id="rId30" name="Group Box 29">
          <controlPr defaultSize="0" autoFill="0" autoPict="0">
            <anchor moveWithCells="1">
              <from>
                <xdr:col>0</xdr:col>
                <xdr:colOff>571500</xdr:colOff>
                <xdr:row>42</xdr:row>
                <xdr:rowOff>209550</xdr:rowOff>
              </from>
              <to>
                <xdr:col>4</xdr:col>
                <xdr:colOff>323850</xdr:colOff>
                <xdr:row>46</xdr:row>
                <xdr:rowOff>12700</xdr:rowOff>
              </to>
            </anchor>
          </controlPr>
        </control>
      </mc:Choice>
    </mc:AlternateContent>
    <mc:AlternateContent xmlns:mc="http://schemas.openxmlformats.org/markup-compatibility/2006">
      <mc:Choice Requires="x14">
        <control shapeId="39007" r:id="rId31" name="Check Box 95">
          <controlPr defaultSize="0" autoFill="0" autoLine="0" autoPict="0">
            <anchor moveWithCells="1">
              <from>
                <xdr:col>1</xdr:col>
                <xdr:colOff>450850</xdr:colOff>
                <xdr:row>9</xdr:row>
                <xdr:rowOff>107950</xdr:rowOff>
              </from>
              <to>
                <xdr:col>3</xdr:col>
                <xdr:colOff>0</xdr:colOff>
                <xdr:row>9</xdr:row>
                <xdr:rowOff>190500</xdr:rowOff>
              </to>
            </anchor>
          </controlPr>
        </control>
      </mc:Choice>
    </mc:AlternateContent>
    <mc:AlternateContent xmlns:mc="http://schemas.openxmlformats.org/markup-compatibility/2006">
      <mc:Choice Requires="x14">
        <control shapeId="39009" r:id="rId32" name="Check Box 97">
          <controlPr defaultSize="0" autoFill="0" autoLine="0" autoPict="0">
            <anchor moveWithCells="1">
              <from>
                <xdr:col>3</xdr:col>
                <xdr:colOff>12700</xdr:colOff>
                <xdr:row>9</xdr:row>
                <xdr:rowOff>114300</xdr:rowOff>
              </from>
              <to>
                <xdr:col>3</xdr:col>
                <xdr:colOff>666750</xdr:colOff>
                <xdr:row>9</xdr:row>
                <xdr:rowOff>203200</xdr:rowOff>
              </to>
            </anchor>
          </controlPr>
        </control>
      </mc:Choice>
    </mc:AlternateContent>
    <mc:AlternateContent xmlns:mc="http://schemas.openxmlformats.org/markup-compatibility/2006">
      <mc:Choice Requires="x14">
        <control shapeId="39010" r:id="rId33" name="Check Box 98">
          <controlPr defaultSize="0" autoFill="0" autoLine="0" autoPict="0">
            <anchor moveWithCells="1">
              <from>
                <xdr:col>1</xdr:col>
                <xdr:colOff>19050</xdr:colOff>
                <xdr:row>9</xdr:row>
                <xdr:rowOff>107950</xdr:rowOff>
              </from>
              <to>
                <xdr:col>1</xdr:col>
                <xdr:colOff>450850</xdr:colOff>
                <xdr:row>9</xdr:row>
                <xdr:rowOff>203200</xdr:rowOff>
              </to>
            </anchor>
          </controlPr>
        </control>
      </mc:Choice>
    </mc:AlternateContent>
    <mc:AlternateContent xmlns:mc="http://schemas.openxmlformats.org/markup-compatibility/2006">
      <mc:Choice Requires="x14">
        <control shapeId="39064" r:id="rId34" name="Check Box 152">
          <controlPr defaultSize="0" autoFill="0" autoLine="0" autoPict="0">
            <anchor moveWithCells="1">
              <from>
                <xdr:col>3</xdr:col>
                <xdr:colOff>736600</xdr:colOff>
                <xdr:row>9</xdr:row>
                <xdr:rowOff>107950</xdr:rowOff>
              </from>
              <to>
                <xdr:col>4</xdr:col>
                <xdr:colOff>717550</xdr:colOff>
                <xdr:row>9</xdr:row>
                <xdr:rowOff>190500</xdr:rowOff>
              </to>
            </anchor>
          </controlPr>
        </control>
      </mc:Choice>
    </mc:AlternateContent>
    <mc:AlternateContent xmlns:mc="http://schemas.openxmlformats.org/markup-compatibility/2006">
      <mc:Choice Requires="x14">
        <control shapeId="39065" r:id="rId35" name="Group Box 153">
          <controlPr defaultSize="0" autoFill="0" autoPict="0">
            <anchor moveWithCells="1">
              <from>
                <xdr:col>0</xdr:col>
                <xdr:colOff>50800</xdr:colOff>
                <xdr:row>96</xdr:row>
                <xdr:rowOff>0</xdr:rowOff>
              </from>
              <to>
                <xdr:col>4</xdr:col>
                <xdr:colOff>323850</xdr:colOff>
                <xdr:row>100</xdr:row>
                <xdr:rowOff>146050</xdr:rowOff>
              </to>
            </anchor>
          </controlPr>
        </control>
      </mc:Choice>
    </mc:AlternateContent>
    <mc:AlternateContent xmlns:mc="http://schemas.openxmlformats.org/markup-compatibility/2006">
      <mc:Choice Requires="x14">
        <control shapeId="39066" r:id="rId36" name="Option Button 154">
          <controlPr defaultSize="0" autoFill="0" autoLine="0" autoPict="0">
            <anchor moveWithCells="1">
              <from>
                <xdr:col>4</xdr:col>
                <xdr:colOff>419100</xdr:colOff>
                <xdr:row>103</xdr:row>
                <xdr:rowOff>0</xdr:rowOff>
              </from>
              <to>
                <xdr:col>5</xdr:col>
                <xdr:colOff>50800</xdr:colOff>
                <xdr:row>104</xdr:row>
                <xdr:rowOff>50800</xdr:rowOff>
              </to>
            </anchor>
          </controlPr>
        </control>
      </mc:Choice>
    </mc:AlternateContent>
    <mc:AlternateContent xmlns:mc="http://schemas.openxmlformats.org/markup-compatibility/2006">
      <mc:Choice Requires="x14">
        <control shapeId="39067" r:id="rId37" name="Option Button 155">
          <controlPr defaultSize="0" autoFill="0" autoLine="0" autoPict="0">
            <anchor moveWithCells="1">
              <from>
                <xdr:col>5</xdr:col>
                <xdr:colOff>571500</xdr:colOff>
                <xdr:row>103</xdr:row>
                <xdr:rowOff>12700</xdr:rowOff>
              </from>
              <to>
                <xdr:col>6</xdr:col>
                <xdr:colOff>0</xdr:colOff>
                <xdr:row>104</xdr:row>
                <xdr:rowOff>12700</xdr:rowOff>
              </to>
            </anchor>
          </controlPr>
        </control>
      </mc:Choice>
    </mc:AlternateContent>
    <mc:AlternateContent xmlns:mc="http://schemas.openxmlformats.org/markup-compatibility/2006">
      <mc:Choice Requires="x14">
        <control shapeId="39068" r:id="rId38" name="Group Box 156">
          <controlPr defaultSize="0" autoFill="0" autoPict="0">
            <anchor moveWithCells="1">
              <from>
                <xdr:col>4</xdr:col>
                <xdr:colOff>361950</xdr:colOff>
                <xdr:row>102</xdr:row>
                <xdr:rowOff>12700</xdr:rowOff>
              </from>
              <to>
                <xdr:col>6</xdr:col>
                <xdr:colOff>533400</xdr:colOff>
                <xdr:row>104</xdr:row>
                <xdr:rowOff>165100</xdr:rowOff>
              </to>
            </anchor>
          </controlPr>
        </control>
      </mc:Choice>
    </mc:AlternateContent>
    <mc:AlternateContent xmlns:mc="http://schemas.openxmlformats.org/markup-compatibility/2006">
      <mc:Choice Requires="x14">
        <control shapeId="39069" r:id="rId39" name="Group Box 157">
          <controlPr defaultSize="0" autoFill="0" autoPict="0">
            <anchor moveWithCells="1">
              <from>
                <xdr:col>0</xdr:col>
                <xdr:colOff>374650</xdr:colOff>
                <xdr:row>96</xdr:row>
                <xdr:rowOff>76200</xdr:rowOff>
              </from>
              <to>
                <xdr:col>4</xdr:col>
                <xdr:colOff>323850</xdr:colOff>
                <xdr:row>100</xdr:row>
                <xdr:rowOff>38100</xdr:rowOff>
              </to>
            </anchor>
          </controlPr>
        </control>
      </mc:Choice>
    </mc:AlternateContent>
    <mc:AlternateContent xmlns:mc="http://schemas.openxmlformats.org/markup-compatibility/2006">
      <mc:Choice Requires="x14">
        <control shapeId="39070" r:id="rId40" name="Option Button 158">
          <controlPr defaultSize="0" autoFill="0" autoLine="0" autoPict="0">
            <anchor moveWithCells="1">
              <from>
                <xdr:col>4</xdr:col>
                <xdr:colOff>419100</xdr:colOff>
                <xdr:row>106</xdr:row>
                <xdr:rowOff>0</xdr:rowOff>
              </from>
              <to>
                <xdr:col>5</xdr:col>
                <xdr:colOff>50800</xdr:colOff>
                <xdr:row>107</xdr:row>
                <xdr:rowOff>50800</xdr:rowOff>
              </to>
            </anchor>
          </controlPr>
        </control>
      </mc:Choice>
    </mc:AlternateContent>
    <mc:AlternateContent xmlns:mc="http://schemas.openxmlformats.org/markup-compatibility/2006">
      <mc:Choice Requires="x14">
        <control shapeId="39071" r:id="rId41" name="Option Button 159">
          <controlPr defaultSize="0" autoFill="0" autoLine="0" autoPict="0">
            <anchor moveWithCells="1">
              <from>
                <xdr:col>5</xdr:col>
                <xdr:colOff>571500</xdr:colOff>
                <xdr:row>106</xdr:row>
                <xdr:rowOff>12700</xdr:rowOff>
              </from>
              <to>
                <xdr:col>6</xdr:col>
                <xdr:colOff>0</xdr:colOff>
                <xdr:row>107</xdr:row>
                <xdr:rowOff>12700</xdr:rowOff>
              </to>
            </anchor>
          </controlPr>
        </control>
      </mc:Choice>
    </mc:AlternateContent>
    <mc:AlternateContent xmlns:mc="http://schemas.openxmlformats.org/markup-compatibility/2006">
      <mc:Choice Requires="x14">
        <control shapeId="39072" r:id="rId42" name="Group Box 160">
          <controlPr defaultSize="0" autoFill="0" autoPict="0">
            <anchor moveWithCells="1">
              <from>
                <xdr:col>4</xdr:col>
                <xdr:colOff>266700</xdr:colOff>
                <xdr:row>105</xdr:row>
                <xdr:rowOff>69850</xdr:rowOff>
              </from>
              <to>
                <xdr:col>6</xdr:col>
                <xdr:colOff>323850</xdr:colOff>
                <xdr:row>108</xdr:row>
                <xdr:rowOff>50800</xdr:rowOff>
              </to>
            </anchor>
          </controlPr>
        </control>
      </mc:Choice>
    </mc:AlternateContent>
  </control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dimension ref="A1:O199"/>
  <sheetViews>
    <sheetView showGridLines="0" zoomScale="90" zoomScaleNormal="90" workbookViewId="0">
      <selection sqref="A1:J1"/>
    </sheetView>
  </sheetViews>
  <sheetFormatPr defaultColWidth="0" defaultRowHeight="14.5" customHeight="1" zeroHeight="1"/>
  <cols>
    <col min="1" max="1" width="14.1796875" style="38" customWidth="1"/>
    <col min="2" max="2" width="9.54296875" style="38" customWidth="1"/>
    <col min="3" max="3" width="11.54296875" style="38" customWidth="1"/>
    <col min="4" max="4" width="16.81640625" style="38" customWidth="1"/>
    <col min="5" max="5" width="10.54296875" style="38" customWidth="1"/>
    <col min="6" max="6" width="12" style="38" customWidth="1"/>
    <col min="7" max="7" width="11.54296875" style="38" customWidth="1"/>
    <col min="8" max="10" width="10.54296875" style="38" customWidth="1"/>
    <col min="11" max="11" width="19.54296875" style="38" customWidth="1"/>
    <col min="12" max="13" width="10.54296875" style="38" customWidth="1"/>
    <col min="14" max="14" width="9.1796875" style="38" customWidth="1"/>
    <col min="15" max="15" width="13.54296875" style="38" customWidth="1"/>
    <col min="16" max="16384" width="13.54296875" style="38" hidden="1"/>
  </cols>
  <sheetData>
    <row r="1" spans="1:15" ht="55" customHeight="1">
      <c r="A1" s="1410" t="str">
        <f>Development!$A$3&amp;" Residential Efficiency Program"</f>
        <v>2025 Residential Efficiency Program</v>
      </c>
      <c r="B1" s="1410"/>
      <c r="C1" s="1410"/>
      <c r="D1" s="1410"/>
      <c r="E1" s="1410"/>
      <c r="F1" s="1410"/>
      <c r="G1" s="1410"/>
      <c r="H1" s="1410"/>
      <c r="I1" s="1410"/>
      <c r="J1" s="1410"/>
      <c r="K1" s="6"/>
      <c r="L1" s="6"/>
      <c r="M1" s="6"/>
      <c r="N1" s="6"/>
      <c r="O1" s="6"/>
    </row>
    <row r="2" spans="1:15" ht="55" customHeight="1">
      <c r="A2" s="1418" t="s">
        <v>100</v>
      </c>
      <c r="B2" s="1418"/>
      <c r="C2" s="1418"/>
      <c r="D2" s="1418"/>
      <c r="E2" s="1418"/>
      <c r="F2" s="1418"/>
      <c r="G2" s="1418"/>
      <c r="H2" s="1418"/>
      <c r="I2" s="1418"/>
      <c r="J2" s="1418"/>
      <c r="K2" s="7"/>
      <c r="L2" s="7"/>
      <c r="M2" s="7"/>
      <c r="N2" s="7"/>
      <c r="O2" s="7"/>
    </row>
    <row r="3" spans="1:15" ht="23.5" thickBot="1">
      <c r="A3" s="23" t="s">
        <v>102</v>
      </c>
      <c r="B3" s="23"/>
      <c r="C3" s="23"/>
      <c r="D3" s="23"/>
      <c r="E3" s="23"/>
      <c r="F3" s="23"/>
      <c r="G3" s="23"/>
      <c r="H3" s="23"/>
      <c r="I3" s="23"/>
      <c r="J3" s="23"/>
      <c r="K3" s="23"/>
      <c r="L3" s="23"/>
      <c r="M3" s="23"/>
      <c r="N3" s="23"/>
      <c r="O3" s="23"/>
    </row>
    <row r="4" spans="1:15" ht="18.75" customHeight="1">
      <c r="A4" s="24"/>
      <c r="B4" s="24"/>
      <c r="C4" s="24"/>
      <c r="D4" s="24"/>
      <c r="E4" s="24"/>
      <c r="F4" s="24"/>
      <c r="G4" s="24"/>
      <c r="H4" s="24"/>
      <c r="I4" s="24"/>
      <c r="J4" s="24"/>
      <c r="K4" s="24"/>
      <c r="L4" s="24"/>
      <c r="M4" s="24"/>
      <c r="N4" s="24"/>
      <c r="O4" s="24"/>
    </row>
    <row r="5" spans="1:15" ht="18" customHeight="1">
      <c r="A5" s="19" t="s">
        <v>104</v>
      </c>
      <c r="B5" s="91" t="e">
        <f>#REF!</f>
        <v>#REF!</v>
      </c>
      <c r="C5" s="1433"/>
      <c r="D5" s="1433"/>
      <c r="E5" s="19"/>
      <c r="F5" s="19"/>
      <c r="G5" s="19" t="s">
        <v>57</v>
      </c>
      <c r="H5" s="1426" t="e">
        <f>IF(#REF!="","",#REF!)</f>
        <v>#REF!</v>
      </c>
      <c r="I5" s="1426"/>
      <c r="J5" s="15"/>
      <c r="K5" s="7"/>
      <c r="L5" s="7"/>
      <c r="M5" s="7"/>
      <c r="N5" s="7"/>
      <c r="O5" s="7"/>
    </row>
    <row r="6" spans="1:15" ht="18" customHeight="1">
      <c r="A6" s="19"/>
      <c r="B6" s="19"/>
      <c r="C6" s="19"/>
      <c r="D6" s="19"/>
      <c r="E6" s="19"/>
      <c r="F6" s="19"/>
      <c r="G6" s="19"/>
      <c r="H6" s="19"/>
      <c r="I6" s="15"/>
      <c r="J6" s="15"/>
      <c r="K6" s="7"/>
      <c r="L6" s="7"/>
      <c r="M6" s="7"/>
      <c r="N6" s="7"/>
      <c r="O6" s="7"/>
    </row>
    <row r="7" spans="1:15" ht="18" customHeight="1">
      <c r="B7" s="19"/>
      <c r="D7" s="19"/>
      <c r="E7" s="19"/>
      <c r="F7" s="19"/>
      <c r="G7" s="19" t="s">
        <v>103</v>
      </c>
      <c r="H7" s="1426" t="e">
        <f>IF(#REF!="","",#REF!)</f>
        <v>#REF!</v>
      </c>
      <c r="I7" s="1426"/>
      <c r="J7" s="15"/>
      <c r="K7" s="7"/>
      <c r="L7" s="7"/>
      <c r="M7" s="7"/>
      <c r="N7" s="7"/>
      <c r="O7" s="7"/>
    </row>
    <row r="8" spans="1:15" ht="23">
      <c r="A8" s="21" t="s">
        <v>101</v>
      </c>
      <c r="B8" s="20"/>
      <c r="C8" s="20"/>
      <c r="D8" s="20"/>
      <c r="E8" s="20"/>
      <c r="F8" s="20"/>
      <c r="G8" s="20"/>
      <c r="H8" s="20"/>
      <c r="I8" s="20"/>
      <c r="J8" s="20"/>
      <c r="K8" s="20"/>
      <c r="L8" s="20"/>
      <c r="M8" s="13"/>
      <c r="N8" s="20"/>
      <c r="O8" s="20"/>
    </row>
    <row r="9" spans="1:15" ht="30.5">
      <c r="A9" s="15"/>
      <c r="B9" s="65" t="s">
        <v>26</v>
      </c>
      <c r="C9" s="66"/>
      <c r="D9" s="65" t="s">
        <v>27</v>
      </c>
      <c r="E9" s="67"/>
      <c r="F9" s="15"/>
      <c r="G9" s="15"/>
      <c r="H9" s="15"/>
      <c r="I9" s="15"/>
      <c r="J9" s="15"/>
      <c r="K9" s="7"/>
      <c r="L9" s="7"/>
      <c r="M9" s="7"/>
      <c r="N9" s="7"/>
      <c r="O9" s="7"/>
    </row>
    <row r="10" spans="1:15" ht="24" customHeight="1">
      <c r="A10" s="7"/>
      <c r="B10" s="22"/>
      <c r="C10" s="22"/>
      <c r="D10" s="22"/>
      <c r="E10" s="22"/>
      <c r="G10" s="17"/>
      <c r="H10" s="17"/>
      <c r="J10" s="7"/>
      <c r="K10" s="7"/>
      <c r="L10" s="7"/>
      <c r="M10" s="7"/>
      <c r="N10" s="7"/>
      <c r="O10" s="7"/>
    </row>
    <row r="11" spans="1:15" ht="23.5" thickBot="1">
      <c r="A11" s="18" t="s">
        <v>48</v>
      </c>
      <c r="B11" s="18"/>
      <c r="C11" s="18"/>
      <c r="D11" s="18"/>
      <c r="E11" s="18"/>
      <c r="F11" s="18"/>
      <c r="G11" s="18"/>
      <c r="H11" s="18"/>
      <c r="I11" s="18"/>
      <c r="J11" s="18"/>
      <c r="K11" s="18"/>
      <c r="L11" s="18"/>
      <c r="M11" s="18"/>
      <c r="N11" s="18"/>
      <c r="O11" s="18"/>
    </row>
    <row r="12" spans="1:15" ht="6.75" customHeight="1">
      <c r="A12" s="4"/>
      <c r="B12" s="5"/>
      <c r="C12" s="5"/>
      <c r="D12" s="5"/>
      <c r="E12" s="5"/>
      <c r="F12" s="5"/>
      <c r="G12" s="5"/>
      <c r="H12" s="5"/>
      <c r="I12" s="5"/>
      <c r="J12" s="5"/>
      <c r="K12" s="5"/>
      <c r="L12" s="5"/>
      <c r="M12" s="5"/>
      <c r="N12" s="5"/>
      <c r="O12" s="5"/>
    </row>
    <row r="13" spans="1:15" ht="27.75" customHeight="1">
      <c r="A13" s="126" t="s">
        <v>299</v>
      </c>
      <c r="B13" s="5"/>
      <c r="C13" s="5"/>
      <c r="D13" s="5"/>
      <c r="E13" s="5"/>
      <c r="F13" s="5"/>
      <c r="G13" s="5"/>
      <c r="H13" s="5"/>
      <c r="I13" s="5"/>
      <c r="J13" s="5"/>
      <c r="K13" s="5"/>
      <c r="L13" s="5"/>
      <c r="M13" s="5"/>
      <c r="N13" s="5"/>
      <c r="O13" s="5"/>
    </row>
    <row r="14" spans="1:15" ht="27.75" customHeight="1">
      <c r="A14" s="126"/>
      <c r="B14" s="5"/>
      <c r="C14" s="5"/>
      <c r="D14" s="5"/>
      <c r="E14" s="5"/>
      <c r="F14" s="5"/>
      <c r="G14" s="5"/>
      <c r="H14" s="5"/>
      <c r="I14" s="5"/>
      <c r="J14" s="5"/>
      <c r="K14" s="5"/>
      <c r="L14" s="5"/>
      <c r="M14" s="5"/>
      <c r="N14" s="5"/>
      <c r="O14" s="5"/>
    </row>
    <row r="15" spans="1:15" ht="33.65" customHeight="1">
      <c r="A15" s="38" t="s">
        <v>334</v>
      </c>
      <c r="E15" s="1211"/>
      <c r="F15" s="1211"/>
      <c r="G15" s="38" t="str">
        <f>IF(OR(E15=""),"",'Air Flow References'!U4)</f>
        <v/>
      </c>
      <c r="L15" s="39" t="s">
        <v>335</v>
      </c>
      <c r="M15" s="1403"/>
      <c r="N15" s="1403"/>
      <c r="O15" s="38" t="str">
        <f>IF(OR(M15=""),"",'Air Flow References'!U6)</f>
        <v/>
      </c>
    </row>
    <row r="16" spans="1:15" ht="33.65" customHeight="1"/>
    <row r="17" spans="1:15" ht="33.65" customHeight="1">
      <c r="A17" s="125" t="s">
        <v>351</v>
      </c>
    </row>
    <row r="18" spans="1:15" ht="33.65" customHeight="1">
      <c r="A18" s="1354" t="s">
        <v>336</v>
      </c>
      <c r="B18" s="1354"/>
      <c r="C18" s="1354"/>
      <c r="D18" s="1354"/>
      <c r="E18" s="1404"/>
      <c r="F18" s="1404"/>
      <c r="G18" s="38" t="str">
        <f>IF(OR(E18=""),"",'Air Flow References'!U5)</f>
        <v/>
      </c>
      <c r="H18" s="41"/>
      <c r="I18" s="41" t="s">
        <v>296</v>
      </c>
      <c r="L18" s="39" t="s">
        <v>337</v>
      </c>
      <c r="M18" s="1211"/>
      <c r="N18" s="1211"/>
      <c r="O18" s="38" t="str">
        <f>IF(OR(M18=""),"",'Air Flow References'!U7)</f>
        <v/>
      </c>
    </row>
    <row r="19" spans="1:15" ht="33.65" customHeight="1"/>
    <row r="20" spans="1:15" ht="33.65" customHeight="1">
      <c r="A20" s="38" t="s">
        <v>340</v>
      </c>
    </row>
    <row r="21" spans="1:15" ht="33.65" customHeight="1"/>
    <row r="22" spans="1:15" ht="33.65" customHeight="1">
      <c r="A22" s="38" t="s">
        <v>341</v>
      </c>
      <c r="E22" s="1403"/>
      <c r="F22" s="1403"/>
      <c r="G22" s="38" t="str">
        <f>IF(OR(E22=""),"",'Air Flow References'!U9)</f>
        <v/>
      </c>
      <c r="H22" s="68"/>
      <c r="I22" s="68"/>
      <c r="J22" s="68"/>
      <c r="K22" s="68"/>
    </row>
    <row r="23" spans="1:15" ht="33.65" customHeight="1">
      <c r="A23" s="137" t="s">
        <v>353</v>
      </c>
      <c r="E23" s="140"/>
      <c r="F23" s="140"/>
    </row>
    <row r="24" spans="1:15" ht="33.65" customHeight="1">
      <c r="E24" s="140"/>
      <c r="F24" s="140"/>
    </row>
    <row r="25" spans="1:15" ht="33.65" customHeight="1">
      <c r="A25" s="38" t="s">
        <v>342</v>
      </c>
      <c r="E25" s="1403"/>
      <c r="F25" s="1403"/>
      <c r="G25" s="38" t="str">
        <f>IF(OR(E25=""),"",'Air Flow References'!U8)</f>
        <v/>
      </c>
    </row>
    <row r="26" spans="1:15" ht="33.65" customHeight="1">
      <c r="A26" s="137" t="s">
        <v>354</v>
      </c>
      <c r="E26" s="140"/>
      <c r="F26" s="140"/>
    </row>
    <row r="27" spans="1:15" ht="33.65" customHeight="1">
      <c r="E27" s="140"/>
      <c r="F27" s="140"/>
    </row>
    <row r="28" spans="1:15"/>
    <row r="29" spans="1:15">
      <c r="A29" s="1354" t="s">
        <v>44</v>
      </c>
      <c r="B29" s="1354"/>
      <c r="C29" s="1354"/>
      <c r="D29" s="1354"/>
      <c r="E29" s="1354"/>
      <c r="F29" s="1354"/>
      <c r="G29" s="1354"/>
      <c r="H29" s="1354"/>
      <c r="I29" s="1354"/>
      <c r="J29" s="1354"/>
      <c r="K29" s="1354"/>
      <c r="L29" s="1354"/>
      <c r="M29" s="1354"/>
    </row>
    <row r="30" spans="1:15" ht="33.65" customHeight="1">
      <c r="A30" s="38" t="s">
        <v>45</v>
      </c>
      <c r="C30" s="1409"/>
      <c r="D30" s="1409"/>
      <c r="E30" s="1409"/>
      <c r="F30" s="1409"/>
      <c r="G30" s="1409"/>
      <c r="H30" s="1409"/>
      <c r="I30" s="1409"/>
      <c r="J30" s="1409"/>
      <c r="K30" s="1409"/>
      <c r="L30" s="1409"/>
    </row>
    <row r="31" spans="1:15"/>
    <row r="32" spans="1:15">
      <c r="A32" s="41" t="s">
        <v>47</v>
      </c>
    </row>
    <row r="33" spans="1:15">
      <c r="A33" s="38" t="s">
        <v>1514</v>
      </c>
    </row>
    <row r="34" spans="1:15">
      <c r="A34" s="38" t="s">
        <v>46</v>
      </c>
    </row>
    <row r="35" spans="1:15"/>
    <row r="36" spans="1:15" ht="23.5" thickBot="1">
      <c r="A36" s="18" t="s">
        <v>178</v>
      </c>
      <c r="B36" s="18"/>
      <c r="C36" s="18"/>
      <c r="D36" s="18"/>
      <c r="E36" s="18"/>
      <c r="F36" s="18"/>
      <c r="G36" s="18"/>
      <c r="H36" s="18"/>
      <c r="I36" s="18"/>
      <c r="J36" s="18"/>
      <c r="K36" s="18"/>
      <c r="L36" s="18"/>
      <c r="M36" s="18"/>
      <c r="N36" s="18"/>
      <c r="O36" s="18"/>
    </row>
    <row r="37" spans="1:15" ht="23">
      <c r="A37" s="4"/>
      <c r="B37" s="4"/>
      <c r="C37" s="4"/>
      <c r="D37" s="4"/>
      <c r="E37" s="4"/>
      <c r="F37" s="4"/>
      <c r="G37" s="4"/>
      <c r="H37" s="4"/>
      <c r="I37" s="4"/>
      <c r="J37" s="4"/>
      <c r="K37" s="4"/>
      <c r="L37" s="4"/>
      <c r="M37" s="4"/>
      <c r="N37" s="4"/>
      <c r="O37" s="4"/>
    </row>
    <row r="38" spans="1:15" ht="23">
      <c r="A38" s="3" t="s">
        <v>73</v>
      </c>
      <c r="B38" s="4"/>
      <c r="C38" s="4"/>
      <c r="D38" s="4"/>
      <c r="E38" s="4"/>
      <c r="F38" s="4"/>
      <c r="G38" s="4"/>
      <c r="H38" s="4"/>
      <c r="I38" s="1424"/>
      <c r="J38" s="1424"/>
      <c r="K38" s="4"/>
      <c r="L38" s="4"/>
      <c r="M38" s="4"/>
    </row>
    <row r="39" spans="1:15" ht="23">
      <c r="A39" s="4"/>
      <c r="B39" s="4"/>
      <c r="C39" s="4"/>
      <c r="D39" s="4"/>
      <c r="E39" s="4"/>
      <c r="F39" s="4"/>
      <c r="G39" s="4"/>
      <c r="H39" s="4"/>
      <c r="I39" s="4"/>
      <c r="J39" s="4"/>
      <c r="K39" s="4"/>
      <c r="L39" s="4"/>
      <c r="M39" s="4"/>
      <c r="N39" s="4"/>
      <c r="O39" s="4"/>
    </row>
    <row r="40" spans="1:15">
      <c r="A40" s="42" t="s">
        <v>164</v>
      </c>
      <c r="B40" s="42"/>
      <c r="C40" s="42"/>
      <c r="D40" s="42"/>
      <c r="E40" s="42"/>
      <c r="F40" s="42"/>
      <c r="G40" s="42"/>
      <c r="H40" s="42"/>
      <c r="I40" s="42"/>
      <c r="J40" s="42"/>
      <c r="K40" s="42"/>
      <c r="L40" s="42"/>
      <c r="M40" s="42"/>
      <c r="N40" s="42"/>
      <c r="O40" s="42"/>
    </row>
    <row r="41" spans="1:15">
      <c r="A41" s="43"/>
      <c r="B41" s="44"/>
      <c r="C41" s="44"/>
      <c r="D41" s="44"/>
      <c r="E41" s="44"/>
      <c r="F41" s="44"/>
      <c r="G41" s="44"/>
      <c r="H41" s="44"/>
      <c r="I41" s="44"/>
      <c r="J41" s="44"/>
      <c r="K41" s="44"/>
      <c r="L41" s="44"/>
      <c r="M41" s="44"/>
      <c r="N41" s="44"/>
    </row>
    <row r="42" spans="1:15">
      <c r="A42" s="48" t="s">
        <v>71</v>
      </c>
    </row>
    <row r="43" spans="1:15">
      <c r="A43" s="45" t="s">
        <v>72</v>
      </c>
    </row>
    <row r="44" spans="1:15">
      <c r="A44" s="45"/>
    </row>
    <row r="45" spans="1:15">
      <c r="A45" s="45"/>
      <c r="E45" s="1417"/>
      <c r="F45" s="1417"/>
    </row>
    <row r="46" spans="1:15">
      <c r="A46" s="45"/>
    </row>
    <row r="47" spans="1:15">
      <c r="A47" s="45"/>
    </row>
    <row r="48" spans="1:15">
      <c r="A48" s="45"/>
    </row>
    <row r="49" spans="1:7">
      <c r="A49" s="45"/>
      <c r="B49" s="38" t="s">
        <v>86</v>
      </c>
      <c r="E49" s="90"/>
      <c r="F49" s="38" t="s">
        <v>77</v>
      </c>
      <c r="G49" s="38" t="str">
        <f>IF(OR(E49=""),"",'Air Flow References'!U16)</f>
        <v/>
      </c>
    </row>
    <row r="50" spans="1:7">
      <c r="A50" s="45"/>
    </row>
    <row r="51" spans="1:7">
      <c r="A51" s="45"/>
      <c r="B51" s="38" t="s">
        <v>87</v>
      </c>
      <c r="E51" s="90"/>
      <c r="F51" s="50" t="s">
        <v>77</v>
      </c>
      <c r="G51" s="38" t="str">
        <f>IF(OR(E51=""),"",'Air Flow References'!U17)</f>
        <v/>
      </c>
    </row>
    <row r="52" spans="1:7">
      <c r="A52" s="45"/>
    </row>
    <row r="53" spans="1:7">
      <c r="A53" s="48" t="s">
        <v>78</v>
      </c>
    </row>
    <row r="54" spans="1:7">
      <c r="A54" s="48"/>
    </row>
    <row r="55" spans="1:7">
      <c r="A55" s="45" t="s">
        <v>88</v>
      </c>
      <c r="E55" s="90"/>
      <c r="F55" s="38" t="s">
        <v>82</v>
      </c>
      <c r="G55" s="38" t="str">
        <f>IF(OR(E55=""),"",'Air Flow References'!U18)</f>
        <v/>
      </c>
    </row>
    <row r="56" spans="1:7">
      <c r="A56" s="45"/>
    </row>
    <row r="57" spans="1:7">
      <c r="A57" s="45" t="s">
        <v>89</v>
      </c>
      <c r="E57" s="90"/>
      <c r="F57" s="38" t="s">
        <v>77</v>
      </c>
      <c r="G57" s="38" t="str">
        <f>IF(OR(E57=""),"",'Air Flow References'!U19)</f>
        <v/>
      </c>
    </row>
    <row r="58" spans="1:7">
      <c r="A58" s="45"/>
    </row>
    <row r="59" spans="1:7">
      <c r="A59" s="45" t="s">
        <v>90</v>
      </c>
      <c r="E59" s="90"/>
      <c r="F59" s="38" t="s">
        <v>77</v>
      </c>
      <c r="G59" s="38" t="str">
        <f>IF(OR(E59=""),"",'Air Flow References'!U20)</f>
        <v/>
      </c>
    </row>
    <row r="60" spans="1:7">
      <c r="A60" s="45"/>
    </row>
    <row r="61" spans="1:7">
      <c r="A61" s="45" t="s">
        <v>91</v>
      </c>
      <c r="E61" s="92" t="str">
        <f>IF(OR(E57="",E59=""),"",E57-E59)</f>
        <v/>
      </c>
      <c r="F61" s="38" t="s">
        <v>77</v>
      </c>
      <c r="G61" s="38" t="str">
        <f>'Air Flow References'!U21</f>
        <v/>
      </c>
    </row>
    <row r="62" spans="1:7">
      <c r="A62" s="45"/>
    </row>
    <row r="63" spans="1:7">
      <c r="A63" s="51" t="s">
        <v>92</v>
      </c>
    </row>
    <row r="64" spans="1:7">
      <c r="A64" s="45"/>
    </row>
    <row r="65" spans="1:15">
      <c r="A65" s="52" t="s">
        <v>93</v>
      </c>
      <c r="B65" s="53"/>
      <c r="C65" s="53"/>
      <c r="D65" s="53"/>
      <c r="E65" s="53"/>
      <c r="F65" s="53"/>
      <c r="G65" s="53"/>
      <c r="H65" s="53"/>
      <c r="I65" s="53"/>
      <c r="J65" s="53"/>
      <c r="K65" s="53"/>
      <c r="L65" s="53"/>
      <c r="M65" s="53"/>
      <c r="N65" s="53"/>
    </row>
    <row r="66" spans="1:15">
      <c r="A66" s="42" t="s">
        <v>199</v>
      </c>
      <c r="B66" s="42"/>
      <c r="C66" s="42"/>
      <c r="D66" s="42"/>
      <c r="E66" s="42"/>
      <c r="F66" s="42"/>
      <c r="G66" s="42"/>
      <c r="H66" s="42"/>
      <c r="I66" s="42"/>
      <c r="J66" s="42"/>
      <c r="K66" s="42"/>
      <c r="L66" s="42"/>
      <c r="M66" s="42"/>
      <c r="N66" s="42"/>
      <c r="O66" s="42"/>
    </row>
    <row r="67" spans="1:15">
      <c r="A67" s="43"/>
      <c r="B67" s="44"/>
      <c r="C67" s="44"/>
      <c r="D67" s="44"/>
      <c r="E67" s="44"/>
      <c r="F67" s="44"/>
      <c r="G67" s="44"/>
      <c r="H67" s="44"/>
      <c r="I67" s="44"/>
      <c r="J67" s="44"/>
      <c r="K67" s="44"/>
      <c r="L67" s="44"/>
      <c r="M67" s="44"/>
      <c r="N67" s="44"/>
    </row>
    <row r="68" spans="1:15">
      <c r="A68" s="48" t="s">
        <v>71</v>
      </c>
    </row>
    <row r="69" spans="1:15">
      <c r="A69" s="45" t="s">
        <v>72</v>
      </c>
    </row>
    <row r="70" spans="1:15">
      <c r="A70" s="45"/>
    </row>
    <row r="71" spans="1:15">
      <c r="A71" s="45"/>
      <c r="E71" s="1417"/>
      <c r="F71" s="1417"/>
    </row>
    <row r="72" spans="1:15">
      <c r="A72" s="45"/>
    </row>
    <row r="73" spans="1:15">
      <c r="A73" s="45"/>
    </row>
    <row r="74" spans="1:15">
      <c r="A74" s="45"/>
      <c r="B74" s="38" t="s">
        <v>74</v>
      </c>
      <c r="E74" s="90"/>
      <c r="F74" s="38" t="s">
        <v>298</v>
      </c>
      <c r="G74" s="148" t="str">
        <f>IF(OR(E74=""),"",'Air Flow References'!U28)</f>
        <v/>
      </c>
    </row>
    <row r="75" spans="1:15">
      <c r="A75" s="45"/>
      <c r="B75" s="125" t="s">
        <v>297</v>
      </c>
      <c r="E75" s="143"/>
      <c r="G75" s="49"/>
    </row>
    <row r="76" spans="1:15">
      <c r="A76" s="45"/>
    </row>
    <row r="77" spans="1:15">
      <c r="A77" s="45"/>
      <c r="B77" s="38" t="s">
        <v>75</v>
      </c>
      <c r="E77" s="90"/>
      <c r="F77" s="38" t="s">
        <v>77</v>
      </c>
      <c r="G77" s="38" t="str">
        <f>IF(OR(E77=""),"",'Air Flow References'!U29)</f>
        <v/>
      </c>
    </row>
    <row r="78" spans="1:15">
      <c r="A78" s="45"/>
    </row>
    <row r="79" spans="1:15">
      <c r="A79" s="45"/>
      <c r="B79" s="38" t="s">
        <v>76</v>
      </c>
      <c r="E79" s="90"/>
      <c r="F79" s="50" t="s">
        <v>77</v>
      </c>
      <c r="G79" s="38" t="str">
        <f>IF(OR(E79=""),"",'Air Flow References'!U30)</f>
        <v/>
      </c>
    </row>
    <row r="80" spans="1:15">
      <c r="A80" s="45"/>
    </row>
    <row r="81" spans="1:15">
      <c r="A81" s="45"/>
    </row>
    <row r="82" spans="1:15">
      <c r="A82" s="48" t="s">
        <v>78</v>
      </c>
    </row>
    <row r="83" spans="1:15">
      <c r="A83" s="45"/>
    </row>
    <row r="84" spans="1:15">
      <c r="A84" s="45" t="s">
        <v>79</v>
      </c>
      <c r="E84" s="90"/>
      <c r="F84" s="38" t="s">
        <v>82</v>
      </c>
      <c r="G84" s="38" t="str">
        <f>IF(OR(E84=""),"",'Air Flow References'!U31)</f>
        <v/>
      </c>
    </row>
    <row r="85" spans="1:15">
      <c r="A85" s="45"/>
    </row>
    <row r="86" spans="1:15">
      <c r="A86" s="45" t="s">
        <v>80</v>
      </c>
      <c r="E86" s="90"/>
      <c r="F86" s="50" t="s">
        <v>77</v>
      </c>
      <c r="G86" s="38" t="str">
        <f>IF(OR(E86=""),"",'Air Flow References'!U32)</f>
        <v/>
      </c>
    </row>
    <row r="87" spans="1:15">
      <c r="A87" s="45"/>
    </row>
    <row r="88" spans="1:15">
      <c r="A88" s="45" t="s">
        <v>81</v>
      </c>
      <c r="E88" s="90"/>
      <c r="F88" s="50" t="s">
        <v>77</v>
      </c>
      <c r="G88" s="38" t="str">
        <f>IF(OR(E88=""),"",'Air Flow References'!U33)</f>
        <v/>
      </c>
    </row>
    <row r="89" spans="1:15">
      <c r="A89" s="45"/>
    </row>
    <row r="90" spans="1:15">
      <c r="A90" s="45" t="s">
        <v>83</v>
      </c>
      <c r="E90" s="92" t="str">
        <f>IF(OR(E86="",E88=""),"",E88-E86)</f>
        <v/>
      </c>
      <c r="F90" s="50" t="s">
        <v>77</v>
      </c>
      <c r="G90" s="38" t="str">
        <f>'Air Flow References'!U34</f>
        <v/>
      </c>
    </row>
    <row r="91" spans="1:15">
      <c r="A91" s="45"/>
    </row>
    <row r="92" spans="1:15">
      <c r="A92" s="51" t="s">
        <v>84</v>
      </c>
    </row>
    <row r="93" spans="1:15">
      <c r="A93" s="45"/>
    </row>
    <row r="94" spans="1:15">
      <c r="A94" s="41" t="s">
        <v>85</v>
      </c>
    </row>
    <row r="95" spans="1:15">
      <c r="A95" s="42" t="s">
        <v>575</v>
      </c>
      <c r="B95" s="42"/>
      <c r="C95" s="42"/>
      <c r="D95" s="42"/>
      <c r="E95" s="42"/>
      <c r="F95" s="42"/>
      <c r="G95" s="42"/>
      <c r="H95" s="42"/>
      <c r="I95" s="42"/>
      <c r="J95" s="42"/>
      <c r="K95" s="42"/>
      <c r="L95" s="42"/>
      <c r="M95" s="42"/>
      <c r="N95" s="42"/>
      <c r="O95" s="42"/>
    </row>
    <row r="96" spans="1:15">
      <c r="A96" s="43"/>
      <c r="B96" s="44"/>
      <c r="C96" s="44"/>
      <c r="D96" s="44"/>
      <c r="E96" s="44"/>
      <c r="F96" s="44"/>
      <c r="G96" s="44"/>
      <c r="H96" s="44"/>
      <c r="I96" s="44"/>
      <c r="J96" s="44"/>
      <c r="K96" s="44"/>
      <c r="L96" s="44"/>
      <c r="M96" s="44"/>
      <c r="N96" s="44"/>
    </row>
    <row r="97" spans="1:14">
      <c r="A97" s="45" t="s">
        <v>49</v>
      </c>
    </row>
    <row r="98" spans="1:14" ht="9.75" customHeight="1">
      <c r="A98" s="45"/>
    </row>
    <row r="99" spans="1:14" ht="15.75" customHeight="1">
      <c r="A99" s="45"/>
      <c r="E99" s="1211"/>
      <c r="F99" s="1211"/>
      <c r="G99" s="38" t="s">
        <v>50</v>
      </c>
    </row>
    <row r="100" spans="1:14">
      <c r="A100" s="1397" t="s">
        <v>1432</v>
      </c>
      <c r="B100" s="1124"/>
    </row>
    <row r="101" spans="1:14">
      <c r="A101" s="1397"/>
      <c r="B101" s="1124"/>
      <c r="C101" s="463"/>
      <c r="D101" s="38" t="s">
        <v>1515</v>
      </c>
      <c r="E101" s="463"/>
      <c r="F101" s="38" t="s">
        <v>1516</v>
      </c>
    </row>
    <row r="102" spans="1:14">
      <c r="A102" s="45"/>
    </row>
    <row r="103" spans="1:14">
      <c r="A103" s="45"/>
    </row>
    <row r="104" spans="1:14">
      <c r="A104" s="45" t="s">
        <v>1517</v>
      </c>
      <c r="E104" s="295"/>
    </row>
    <row r="105" spans="1:14">
      <c r="A105" s="45"/>
    </row>
    <row r="106" spans="1:14">
      <c r="A106" s="45"/>
    </row>
    <row r="107" spans="1:14">
      <c r="A107" s="45" t="s">
        <v>59</v>
      </c>
      <c r="E107" s="295"/>
    </row>
    <row r="108" spans="1:14">
      <c r="A108" s="45"/>
    </row>
    <row r="109" spans="1:14">
      <c r="A109" s="45"/>
    </row>
    <row r="110" spans="1:14">
      <c r="A110" s="45" t="s">
        <v>1433</v>
      </c>
      <c r="C110" s="463"/>
      <c r="D110" s="38" t="s">
        <v>60</v>
      </c>
    </row>
    <row r="111" spans="1:14">
      <c r="A111" s="45"/>
    </row>
    <row r="112" spans="1:14">
      <c r="A112" s="45" t="s">
        <v>61</v>
      </c>
      <c r="D112" s="504"/>
      <c r="E112" s="38" t="s">
        <v>62</v>
      </c>
      <c r="F112" s="38" t="s">
        <v>63</v>
      </c>
      <c r="G112" s="460"/>
      <c r="H112" s="38" t="s">
        <v>60</v>
      </c>
      <c r="I112" s="38" t="s">
        <v>64</v>
      </c>
      <c r="J112" s="434"/>
      <c r="K112" s="38" t="s">
        <v>65</v>
      </c>
      <c r="L112" s="46" t="s">
        <v>66</v>
      </c>
      <c r="M112" s="460"/>
      <c r="N112" s="38" t="s">
        <v>67</v>
      </c>
    </row>
    <row r="113" spans="1:15">
      <c r="A113" s="45"/>
      <c r="L113" s="46"/>
    </row>
    <row r="114" spans="1:15">
      <c r="A114" s="45" t="s">
        <v>142</v>
      </c>
      <c r="D114" s="504"/>
      <c r="E114" s="38" t="s">
        <v>62</v>
      </c>
      <c r="F114" s="38" t="s">
        <v>63</v>
      </c>
      <c r="G114" s="460"/>
      <c r="H114" s="38" t="s">
        <v>60</v>
      </c>
      <c r="I114" s="38" t="s">
        <v>64</v>
      </c>
      <c r="J114" s="434"/>
      <c r="K114" s="38" t="s">
        <v>65</v>
      </c>
      <c r="L114" s="46" t="s">
        <v>66</v>
      </c>
      <c r="M114" s="460"/>
      <c r="N114" s="38" t="s">
        <v>67</v>
      </c>
    </row>
    <row r="115" spans="1:15">
      <c r="A115" s="45"/>
    </row>
    <row r="116" spans="1:15">
      <c r="A116" s="47" t="s">
        <v>190</v>
      </c>
      <c r="M116" s="460"/>
      <c r="N116" s="38" t="s">
        <v>67</v>
      </c>
    </row>
    <row r="117" spans="1:15">
      <c r="A117" s="45"/>
    </row>
    <row r="118" spans="1:15">
      <c r="A118" s="1401" t="s">
        <v>68</v>
      </c>
      <c r="B118" s="1399"/>
      <c r="C118" s="1399"/>
      <c r="D118" s="1399"/>
      <c r="E118" s="1402"/>
      <c r="F118" s="1398" t="s">
        <v>69</v>
      </c>
      <c r="G118" s="1398"/>
      <c r="H118" s="1398"/>
      <c r="I118" s="1398"/>
      <c r="J118" s="1398"/>
      <c r="K118" s="1398"/>
      <c r="L118" s="139"/>
      <c r="M118" s="1413" t="str">
        <f>IF(AND(M112="",M114="",M116=""),"",M112+M114+M116)</f>
        <v/>
      </c>
      <c r="N118" s="1399" t="s">
        <v>67</v>
      </c>
    </row>
    <row r="119" spans="1:15">
      <c r="A119" s="1401"/>
      <c r="B119" s="1399"/>
      <c r="C119" s="1399"/>
      <c r="D119" s="1399"/>
      <c r="E119" s="1402"/>
      <c r="F119" s="1398"/>
      <c r="G119" s="1398"/>
      <c r="H119" s="1398"/>
      <c r="I119" s="1398"/>
      <c r="J119" s="1398"/>
      <c r="K119" s="1398"/>
      <c r="L119" s="139"/>
      <c r="M119" s="1414"/>
      <c r="N119" s="1399"/>
    </row>
    <row r="120" spans="1:15">
      <c r="A120" s="459"/>
      <c r="B120" s="458"/>
      <c r="C120" s="458"/>
      <c r="D120" s="458"/>
      <c r="E120" s="458"/>
      <c r="F120" s="458"/>
      <c r="G120" s="458"/>
      <c r="H120" s="458"/>
      <c r="I120" s="458"/>
      <c r="J120" s="458"/>
      <c r="K120" s="458"/>
      <c r="L120" s="139"/>
      <c r="M120" s="461"/>
      <c r="N120" s="458"/>
    </row>
    <row r="121" spans="1:15">
      <c r="A121" s="459"/>
      <c r="B121" s="458"/>
      <c r="C121" s="458"/>
      <c r="D121" s="458"/>
      <c r="E121" s="458"/>
      <c r="F121" s="458"/>
      <c r="G121" s="458"/>
      <c r="H121" s="458"/>
      <c r="I121" s="458"/>
      <c r="J121" s="458"/>
      <c r="K121" s="458"/>
      <c r="L121" s="139"/>
      <c r="M121" s="461"/>
      <c r="N121" s="458"/>
    </row>
    <row r="122" spans="1:15">
      <c r="A122" s="459"/>
      <c r="B122" s="458"/>
      <c r="C122" s="458"/>
      <c r="D122" s="458"/>
      <c r="E122" s="458"/>
      <c r="F122" s="458"/>
      <c r="G122" s="458"/>
      <c r="H122" s="458"/>
      <c r="I122" s="458"/>
      <c r="J122" s="458"/>
      <c r="K122" s="458"/>
      <c r="L122" s="139"/>
      <c r="M122" s="461"/>
      <c r="N122" s="458"/>
    </row>
    <row r="123" spans="1:15">
      <c r="A123" s="45"/>
    </row>
    <row r="124" spans="1:15">
      <c r="A124" s="41" t="s">
        <v>70</v>
      </c>
    </row>
    <row r="125" spans="1:15">
      <c r="A125" s="57" t="s">
        <v>165</v>
      </c>
      <c r="B125" s="61"/>
      <c r="C125" s="58" t="str">
        <f>Development!$A$4&amp;"_"&amp;Development!$A$2</f>
        <v>01.01.2025_1.0</v>
      </c>
      <c r="D125" s="1415"/>
      <c r="E125" s="1415"/>
      <c r="F125" s="1415"/>
      <c r="G125" s="1416"/>
      <c r="H125" s="1416"/>
      <c r="I125" s="1416"/>
      <c r="J125" s="44"/>
      <c r="K125" s="44"/>
      <c r="L125" s="44"/>
      <c r="M125" s="44"/>
      <c r="N125" s="60" t="s">
        <v>167</v>
      </c>
      <c r="O125" s="59" t="str">
        <f>Development!$A$4</f>
        <v>01.01.2025</v>
      </c>
    </row>
    <row r="126" spans="1:15"/>
    <row r="127" spans="1:15"/>
    <row r="128" spans="1:15"/>
    <row r="129"/>
    <row r="130"/>
    <row r="131"/>
    <row r="132"/>
    <row r="133"/>
    <row r="134"/>
    <row r="135"/>
    <row r="136"/>
    <row r="137"/>
    <row r="138"/>
    <row r="139"/>
    <row r="140"/>
    <row r="141"/>
    <row r="142"/>
    <row r="143"/>
    <row r="144"/>
    <row r="145" spans="15:15">
      <c r="O145" s="54"/>
    </row>
    <row r="157" spans="15:15"/>
    <row r="158" spans="15:15"/>
    <row r="159" spans="15:15"/>
    <row r="160" spans="15:15"/>
    <row r="161"/>
    <row r="162"/>
    <row r="163"/>
    <row r="164"/>
    <row r="165"/>
    <row r="166"/>
    <row r="167"/>
    <row r="168" ht="14.5" customHeight="1"/>
    <row r="169" ht="14.5" customHeight="1"/>
    <row r="170" ht="14.5" customHeight="1"/>
    <row r="171" ht="14.5" customHeight="1"/>
    <row r="172" ht="14.5" customHeight="1"/>
    <row r="173" ht="14.5" customHeight="1"/>
    <row r="174" ht="14.5" customHeight="1"/>
    <row r="175" ht="14.5" customHeight="1"/>
    <row r="176" ht="14.5" customHeight="1"/>
    <row r="177" ht="14.5" customHeight="1"/>
    <row r="178" ht="14.5" customHeight="1"/>
    <row r="179" ht="14.5" customHeight="1"/>
    <row r="180" ht="14.5" customHeight="1"/>
    <row r="181" ht="14.5" customHeight="1"/>
    <row r="182" ht="14.5" customHeight="1"/>
    <row r="183" ht="14.5" customHeight="1"/>
    <row r="184" ht="14.5" customHeight="1"/>
    <row r="185" ht="14.5" customHeight="1"/>
    <row r="186" ht="14.5" customHeight="1"/>
    <row r="187" ht="14.5" customHeight="1"/>
    <row r="188" ht="14.5" customHeight="1"/>
    <row r="189" ht="14.5" customHeight="1"/>
    <row r="190" ht="14.5" customHeight="1"/>
    <row r="191" ht="14.5" customHeight="1"/>
    <row r="192" ht="14.5" customHeight="1"/>
    <row r="193" ht="14.5" customHeight="1"/>
    <row r="194" ht="14.5" customHeight="1"/>
    <row r="195" ht="14.5" customHeight="1"/>
    <row r="196" ht="14.5" customHeight="1"/>
    <row r="197" ht="14.5" customHeight="1"/>
    <row r="198" ht="14.5" customHeight="1"/>
    <row r="199" ht="14.5" customHeight="1"/>
  </sheetData>
  <sheetProtection algorithmName="SHA-512" hashValue="iqsJDRIgUksMK5fUHWj+ylc5TiRKFRolnYxEqEaKkodeJNH8bfgMOk3PJdlZnNE7TjflWytebrSIKtF1vOFVjA==" saltValue="G7KoOcchH0OfWdpfF3n4DQ==" spinCount="100000" sheet="1" objects="1" scenarios="1"/>
  <mergeCells count="25">
    <mergeCell ref="C30:L30"/>
    <mergeCell ref="E25:F25"/>
    <mergeCell ref="D125:F125"/>
    <mergeCell ref="G125:I125"/>
    <mergeCell ref="E45:F45"/>
    <mergeCell ref="E99:F99"/>
    <mergeCell ref="A118:E119"/>
    <mergeCell ref="F118:K119"/>
    <mergeCell ref="A100:B101"/>
    <mergeCell ref="M118:M119"/>
    <mergeCell ref="N118:N119"/>
    <mergeCell ref="E71:F71"/>
    <mergeCell ref="A1:J1"/>
    <mergeCell ref="A2:J2"/>
    <mergeCell ref="E15:F15"/>
    <mergeCell ref="M15:N15"/>
    <mergeCell ref="A18:D18"/>
    <mergeCell ref="E18:F18"/>
    <mergeCell ref="C5:D5"/>
    <mergeCell ref="H5:I5"/>
    <mergeCell ref="H7:I7"/>
    <mergeCell ref="M18:N18"/>
    <mergeCell ref="E22:F22"/>
    <mergeCell ref="A29:M29"/>
    <mergeCell ref="I38:J38"/>
  </mergeCells>
  <dataValidations count="1">
    <dataValidation type="list" allowBlank="1" showInputMessage="1" showErrorMessage="1" sqref="E23:E24 F24 E26:F27" xr:uid="{00000000-0002-0000-1200-000000000000}">
      <formula1>CFM_AirFlow_Est</formula1>
    </dataValidation>
  </dataValidations>
  <pageMargins left="0.25" right="0.25" top="0.75" bottom="0.75" header="0.3" footer="0.3"/>
  <pageSetup scale="56" fitToHeight="4" orientation="portrait" r:id="rId1"/>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drawing r:id="rId2"/>
  <legacyDrawing r:id="rId3"/>
  <controls>
    <mc:AlternateContent xmlns:mc="http://schemas.openxmlformats.org/markup-compatibility/2006">
      <mc:Choice Requires="x14">
        <control shapeId="38892" r:id="rId4" name="CommandButton1">
          <controlPr defaultSize="0" autoLine="0" r:id="rId5">
            <anchor moveWithCells="1">
              <from>
                <xdr:col>11</xdr:col>
                <xdr:colOff>336550</xdr:colOff>
                <xdr:row>120</xdr:row>
                <xdr:rowOff>31750</xdr:rowOff>
              </from>
              <to>
                <xdr:col>14</xdr:col>
                <xdr:colOff>584200</xdr:colOff>
                <xdr:row>123</xdr:row>
                <xdr:rowOff>0</xdr:rowOff>
              </to>
            </anchor>
          </controlPr>
        </control>
      </mc:Choice>
      <mc:Fallback>
        <control shapeId="38892" r:id="rId4" name="CommandButton1"/>
      </mc:Fallback>
    </mc:AlternateContent>
    <mc:AlternateContent xmlns:mc="http://schemas.openxmlformats.org/markup-compatibility/2006">
      <mc:Choice Requires="x14">
        <control shapeId="37915" r:id="rId6" name="OptionButton10">
          <controlPr defaultSize="0" autoLine="0" r:id="rId7">
            <anchor moveWithCells="1">
              <from>
                <xdr:col>1</xdr:col>
                <xdr:colOff>38100</xdr:colOff>
                <xdr:row>44</xdr:row>
                <xdr:rowOff>50800</xdr:rowOff>
              </from>
              <to>
                <xdr:col>2</xdr:col>
                <xdr:colOff>12700</xdr:colOff>
                <xdr:row>45</xdr:row>
                <xdr:rowOff>146050</xdr:rowOff>
              </to>
            </anchor>
          </controlPr>
        </control>
      </mc:Choice>
      <mc:Fallback>
        <control shapeId="37915" r:id="rId6" name="OptionButton10"/>
      </mc:Fallback>
    </mc:AlternateContent>
    <mc:AlternateContent xmlns:mc="http://schemas.openxmlformats.org/markup-compatibility/2006">
      <mc:Choice Requires="x14">
        <control shapeId="37906" r:id="rId8" name="OptionButton7">
          <controlPr defaultSize="0" autoLine="0" r:id="rId9">
            <anchor moveWithCells="1">
              <from>
                <xdr:col>1</xdr:col>
                <xdr:colOff>12700</xdr:colOff>
                <xdr:row>70</xdr:row>
                <xdr:rowOff>0</xdr:rowOff>
              </from>
              <to>
                <xdr:col>1</xdr:col>
                <xdr:colOff>647700</xdr:colOff>
                <xdr:row>71</xdr:row>
                <xdr:rowOff>88900</xdr:rowOff>
              </to>
            </anchor>
          </controlPr>
        </control>
      </mc:Choice>
      <mc:Fallback>
        <control shapeId="37906" r:id="rId8" name="OptionButton7"/>
      </mc:Fallback>
    </mc:AlternateContent>
    <mc:AlternateContent xmlns:mc="http://schemas.openxmlformats.org/markup-compatibility/2006">
      <mc:Choice Requires="x14">
        <control shapeId="37890" r:id="rId10" name="OptionButton2">
          <controlPr defaultSize="0" autoLine="0" r:id="rId11">
            <anchor moveWithCells="1">
              <from>
                <xdr:col>6</xdr:col>
                <xdr:colOff>0</xdr:colOff>
                <xdr:row>19</xdr:row>
                <xdr:rowOff>165100</xdr:rowOff>
              </from>
              <to>
                <xdr:col>10</xdr:col>
                <xdr:colOff>203200</xdr:colOff>
                <xdr:row>20</xdr:row>
                <xdr:rowOff>165100</xdr:rowOff>
              </to>
            </anchor>
          </controlPr>
        </control>
      </mc:Choice>
      <mc:Fallback>
        <control shapeId="37890" r:id="rId10" name="OptionButton2"/>
      </mc:Fallback>
    </mc:AlternateContent>
    <mc:AlternateContent xmlns:mc="http://schemas.openxmlformats.org/markup-compatibility/2006">
      <mc:Choice Requires="x14">
        <control shapeId="37889" r:id="rId12" name="OptionButton1">
          <controlPr defaultSize="0" autoLine="0" autoPict="0" r:id="rId13">
            <anchor moveWithCells="1">
              <from>
                <xdr:col>3</xdr:col>
                <xdr:colOff>69850</xdr:colOff>
                <xdr:row>19</xdr:row>
                <xdr:rowOff>165100</xdr:rowOff>
              </from>
              <to>
                <xdr:col>6</xdr:col>
                <xdr:colOff>419100</xdr:colOff>
                <xdr:row>20</xdr:row>
                <xdr:rowOff>69850</xdr:rowOff>
              </to>
            </anchor>
          </controlPr>
        </control>
      </mc:Choice>
      <mc:Fallback>
        <control shapeId="37889" r:id="rId12" name="OptionButton1"/>
      </mc:Fallback>
    </mc:AlternateContent>
    <mc:AlternateContent xmlns:mc="http://schemas.openxmlformats.org/markup-compatibility/2006">
      <mc:Choice Requires="x14">
        <control shapeId="37891" r:id="rId14" name="Group Box 3">
          <controlPr defaultSize="0" autoFill="0" autoPict="0">
            <anchor moveWithCells="1">
              <from>
                <xdr:col>0</xdr:col>
                <xdr:colOff>12700</xdr:colOff>
                <xdr:row>19</xdr:row>
                <xdr:rowOff>57150</xdr:rowOff>
              </from>
              <to>
                <xdr:col>7</xdr:col>
                <xdr:colOff>69850</xdr:colOff>
                <xdr:row>20</xdr:row>
                <xdr:rowOff>336550</xdr:rowOff>
              </to>
            </anchor>
          </controlPr>
        </control>
      </mc:Choice>
    </mc:AlternateContent>
    <mc:AlternateContent xmlns:mc="http://schemas.openxmlformats.org/markup-compatibility/2006">
      <mc:Choice Requires="x14">
        <control shapeId="37892" r:id="rId15" name="Check Box 4">
          <controlPr defaultSize="0" autoFill="0" autoLine="0" autoPict="0">
            <anchor moveWithCells="1">
              <from>
                <xdr:col>7</xdr:col>
                <xdr:colOff>533400</xdr:colOff>
                <xdr:row>21</xdr:row>
                <xdr:rowOff>165100</xdr:rowOff>
              </from>
              <to>
                <xdr:col>9</xdr:col>
                <xdr:colOff>50800</xdr:colOff>
                <xdr:row>22</xdr:row>
                <xdr:rowOff>0</xdr:rowOff>
              </to>
            </anchor>
          </controlPr>
        </control>
      </mc:Choice>
    </mc:AlternateContent>
    <mc:AlternateContent xmlns:mc="http://schemas.openxmlformats.org/markup-compatibility/2006">
      <mc:Choice Requires="x14">
        <control shapeId="37893" r:id="rId16" name="Check Box 5">
          <controlPr defaultSize="0" autoFill="0" autoLine="0" autoPict="0">
            <anchor moveWithCells="1">
              <from>
                <xdr:col>9</xdr:col>
                <xdr:colOff>419100</xdr:colOff>
                <xdr:row>21</xdr:row>
                <xdr:rowOff>165100</xdr:rowOff>
              </from>
              <to>
                <xdr:col>10</xdr:col>
                <xdr:colOff>990600</xdr:colOff>
                <xdr:row>22</xdr:row>
                <xdr:rowOff>0</xdr:rowOff>
              </to>
            </anchor>
          </controlPr>
        </control>
      </mc:Choice>
    </mc:AlternateContent>
    <mc:AlternateContent xmlns:mc="http://schemas.openxmlformats.org/markup-compatibility/2006">
      <mc:Choice Requires="x14">
        <control shapeId="37897" r:id="rId17" name="Group Box 9">
          <controlPr defaultSize="0" autoFill="0" autoPict="0">
            <anchor moveWithCells="1">
              <from>
                <xdr:col>0</xdr:col>
                <xdr:colOff>50800</xdr:colOff>
                <xdr:row>65</xdr:row>
                <xdr:rowOff>0</xdr:rowOff>
              </from>
              <to>
                <xdr:col>4</xdr:col>
                <xdr:colOff>241300</xdr:colOff>
                <xdr:row>69</xdr:row>
                <xdr:rowOff>95250</xdr:rowOff>
              </to>
            </anchor>
          </controlPr>
        </control>
      </mc:Choice>
    </mc:AlternateContent>
    <mc:AlternateContent xmlns:mc="http://schemas.openxmlformats.org/markup-compatibility/2006">
      <mc:Choice Requires="x14">
        <control shapeId="37898" r:id="rId18" name="Option Button 10">
          <controlPr defaultSize="0" autoFill="0" autoLine="0" autoPict="0">
            <anchor moveWithCells="1">
              <from>
                <xdr:col>4</xdr:col>
                <xdr:colOff>419100</xdr:colOff>
                <xdr:row>65</xdr:row>
                <xdr:rowOff>0</xdr:rowOff>
              </from>
              <to>
                <xdr:col>5</xdr:col>
                <xdr:colOff>50800</xdr:colOff>
                <xdr:row>66</xdr:row>
                <xdr:rowOff>50800</xdr:rowOff>
              </to>
            </anchor>
          </controlPr>
        </control>
      </mc:Choice>
    </mc:AlternateContent>
    <mc:AlternateContent xmlns:mc="http://schemas.openxmlformats.org/markup-compatibility/2006">
      <mc:Choice Requires="x14">
        <control shapeId="37899" r:id="rId19" name="Option Button 11">
          <controlPr defaultSize="0" autoFill="0" autoLine="0" autoPict="0">
            <anchor moveWithCells="1">
              <from>
                <xdr:col>5</xdr:col>
                <xdr:colOff>571500</xdr:colOff>
                <xdr:row>65</xdr:row>
                <xdr:rowOff>0</xdr:rowOff>
              </from>
              <to>
                <xdr:col>6</xdr:col>
                <xdr:colOff>0</xdr:colOff>
                <xdr:row>66</xdr:row>
                <xdr:rowOff>0</xdr:rowOff>
              </to>
            </anchor>
          </controlPr>
        </control>
      </mc:Choice>
    </mc:AlternateContent>
    <mc:AlternateContent xmlns:mc="http://schemas.openxmlformats.org/markup-compatibility/2006">
      <mc:Choice Requires="x14">
        <control shapeId="37900" r:id="rId20" name="Group Box 12">
          <controlPr defaultSize="0" autoFill="0" autoPict="0">
            <anchor moveWithCells="1">
              <from>
                <xdr:col>4</xdr:col>
                <xdr:colOff>361950</xdr:colOff>
                <xdr:row>65</xdr:row>
                <xdr:rowOff>0</xdr:rowOff>
              </from>
              <to>
                <xdr:col>6</xdr:col>
                <xdr:colOff>533400</xdr:colOff>
                <xdr:row>67</xdr:row>
                <xdr:rowOff>152400</xdr:rowOff>
              </to>
            </anchor>
          </controlPr>
        </control>
      </mc:Choice>
    </mc:AlternateContent>
    <mc:AlternateContent xmlns:mc="http://schemas.openxmlformats.org/markup-compatibility/2006">
      <mc:Choice Requires="x14">
        <control shapeId="37901" r:id="rId21" name="Group Box 13">
          <controlPr defaultSize="0" autoFill="0" autoPict="0">
            <anchor moveWithCells="1">
              <from>
                <xdr:col>0</xdr:col>
                <xdr:colOff>374650</xdr:colOff>
                <xdr:row>65</xdr:row>
                <xdr:rowOff>0</xdr:rowOff>
              </from>
              <to>
                <xdr:col>4</xdr:col>
                <xdr:colOff>241300</xdr:colOff>
                <xdr:row>68</xdr:row>
                <xdr:rowOff>95250</xdr:rowOff>
              </to>
            </anchor>
          </controlPr>
        </control>
      </mc:Choice>
    </mc:AlternateContent>
    <mc:AlternateContent xmlns:mc="http://schemas.openxmlformats.org/markup-compatibility/2006">
      <mc:Choice Requires="x14">
        <control shapeId="37902" r:id="rId22" name="Option Button 14">
          <controlPr defaultSize="0" autoFill="0" autoLine="0" autoPict="0">
            <anchor moveWithCells="1">
              <from>
                <xdr:col>4</xdr:col>
                <xdr:colOff>419100</xdr:colOff>
                <xdr:row>65</xdr:row>
                <xdr:rowOff>0</xdr:rowOff>
              </from>
              <to>
                <xdr:col>5</xdr:col>
                <xdr:colOff>50800</xdr:colOff>
                <xdr:row>66</xdr:row>
                <xdr:rowOff>50800</xdr:rowOff>
              </to>
            </anchor>
          </controlPr>
        </control>
      </mc:Choice>
    </mc:AlternateContent>
    <mc:AlternateContent xmlns:mc="http://schemas.openxmlformats.org/markup-compatibility/2006">
      <mc:Choice Requires="x14">
        <control shapeId="37903" r:id="rId23" name="Option Button 15">
          <controlPr defaultSize="0" autoFill="0" autoLine="0" autoPict="0">
            <anchor moveWithCells="1">
              <from>
                <xdr:col>5</xdr:col>
                <xdr:colOff>571500</xdr:colOff>
                <xdr:row>65</xdr:row>
                <xdr:rowOff>0</xdr:rowOff>
              </from>
              <to>
                <xdr:col>6</xdr:col>
                <xdr:colOff>0</xdr:colOff>
                <xdr:row>66</xdr:row>
                <xdr:rowOff>0</xdr:rowOff>
              </to>
            </anchor>
          </controlPr>
        </control>
      </mc:Choice>
    </mc:AlternateContent>
    <mc:AlternateContent xmlns:mc="http://schemas.openxmlformats.org/markup-compatibility/2006">
      <mc:Choice Requires="x14">
        <control shapeId="37904" r:id="rId24" name="Group Box 16">
          <controlPr defaultSize="0" autoFill="0" autoPict="0">
            <anchor moveWithCells="1">
              <from>
                <xdr:col>4</xdr:col>
                <xdr:colOff>266700</xdr:colOff>
                <xdr:row>65</xdr:row>
                <xdr:rowOff>0</xdr:rowOff>
              </from>
              <to>
                <xdr:col>6</xdr:col>
                <xdr:colOff>323850</xdr:colOff>
                <xdr:row>67</xdr:row>
                <xdr:rowOff>165100</xdr:rowOff>
              </to>
            </anchor>
          </controlPr>
        </control>
      </mc:Choice>
    </mc:AlternateContent>
    <mc:AlternateContent xmlns:mc="http://schemas.openxmlformats.org/markup-compatibility/2006">
      <mc:Choice Requires="x14">
        <control shapeId="37908" r:id="rId25" name="Group Box 20">
          <controlPr defaultSize="0" autoFill="0" autoPict="0">
            <anchor moveWithCells="1">
              <from>
                <xdr:col>0</xdr:col>
                <xdr:colOff>317500</xdr:colOff>
                <xdr:row>68</xdr:row>
                <xdr:rowOff>209550</xdr:rowOff>
              </from>
              <to>
                <xdr:col>4</xdr:col>
                <xdr:colOff>241300</xdr:colOff>
                <xdr:row>72</xdr:row>
                <xdr:rowOff>12700</xdr:rowOff>
              </to>
            </anchor>
          </controlPr>
        </control>
      </mc:Choice>
    </mc:AlternateContent>
    <mc:AlternateContent xmlns:mc="http://schemas.openxmlformats.org/markup-compatibility/2006">
      <mc:Choice Requires="x14">
        <control shapeId="37909" r:id="rId26" name="Option Button 21">
          <controlPr defaultSize="0" autoFill="0" autoLine="0" autoPict="0">
            <anchor moveWithCells="1">
              <from>
                <xdr:col>2</xdr:col>
                <xdr:colOff>889000</xdr:colOff>
                <xdr:row>37</xdr:row>
                <xdr:rowOff>127000</xdr:rowOff>
              </from>
              <to>
                <xdr:col>3</xdr:col>
                <xdr:colOff>889000</xdr:colOff>
                <xdr:row>38</xdr:row>
                <xdr:rowOff>127000</xdr:rowOff>
              </to>
            </anchor>
          </controlPr>
        </control>
      </mc:Choice>
    </mc:AlternateContent>
    <mc:AlternateContent xmlns:mc="http://schemas.openxmlformats.org/markup-compatibility/2006">
      <mc:Choice Requires="x14">
        <control shapeId="37910" r:id="rId27" name="Option Button 22">
          <controlPr defaultSize="0" autoFill="0" autoLine="0" autoPict="0">
            <anchor moveWithCells="1">
              <from>
                <xdr:col>2</xdr:col>
                <xdr:colOff>831850</xdr:colOff>
                <xdr:row>37</xdr:row>
                <xdr:rowOff>12700</xdr:rowOff>
              </from>
              <to>
                <xdr:col>3</xdr:col>
                <xdr:colOff>1060450</xdr:colOff>
                <xdr:row>38</xdr:row>
                <xdr:rowOff>12700</xdr:rowOff>
              </to>
            </anchor>
          </controlPr>
        </control>
      </mc:Choice>
    </mc:AlternateContent>
    <mc:AlternateContent xmlns:mc="http://schemas.openxmlformats.org/markup-compatibility/2006">
      <mc:Choice Requires="x14">
        <control shapeId="37911" r:id="rId28" name="Option Button 23">
          <controlPr defaultSize="0" autoFill="0" autoLine="0" autoPict="0">
            <anchor moveWithCells="1">
              <from>
                <xdr:col>4</xdr:col>
                <xdr:colOff>95250</xdr:colOff>
                <xdr:row>37</xdr:row>
                <xdr:rowOff>12700</xdr:rowOff>
              </from>
              <to>
                <xdr:col>5</xdr:col>
                <xdr:colOff>476250</xdr:colOff>
                <xdr:row>38</xdr:row>
                <xdr:rowOff>12700</xdr:rowOff>
              </to>
            </anchor>
          </controlPr>
        </control>
      </mc:Choice>
    </mc:AlternateContent>
    <mc:AlternateContent xmlns:mc="http://schemas.openxmlformats.org/markup-compatibility/2006">
      <mc:Choice Requires="x14">
        <control shapeId="37913" r:id="rId29" name="Group Box 25">
          <controlPr defaultSize="0" autoFill="0" autoPict="0">
            <anchor moveWithCells="1">
              <from>
                <xdr:col>2</xdr:col>
                <xdr:colOff>533400</xdr:colOff>
                <xdr:row>36</xdr:row>
                <xdr:rowOff>266700</xdr:rowOff>
              </from>
              <to>
                <xdr:col>14</xdr:col>
                <xdr:colOff>800100</xdr:colOff>
                <xdr:row>39</xdr:row>
                <xdr:rowOff>50800</xdr:rowOff>
              </to>
            </anchor>
          </controlPr>
        </control>
      </mc:Choice>
    </mc:AlternateContent>
    <mc:AlternateContent xmlns:mc="http://schemas.openxmlformats.org/markup-compatibility/2006">
      <mc:Choice Requires="x14">
        <control shapeId="37917" r:id="rId30" name="Group Box 29">
          <controlPr defaultSize="0" autoFill="0" autoPict="0">
            <anchor moveWithCells="1">
              <from>
                <xdr:col>0</xdr:col>
                <xdr:colOff>571500</xdr:colOff>
                <xdr:row>42</xdr:row>
                <xdr:rowOff>209550</xdr:rowOff>
              </from>
              <to>
                <xdr:col>4</xdr:col>
                <xdr:colOff>241300</xdr:colOff>
                <xdr:row>46</xdr:row>
                <xdr:rowOff>12700</xdr:rowOff>
              </to>
            </anchor>
          </controlPr>
        </control>
      </mc:Choice>
    </mc:AlternateContent>
    <mc:AlternateContent xmlns:mc="http://schemas.openxmlformats.org/markup-compatibility/2006">
      <mc:Choice Requires="x14">
        <control shapeId="123945" r:id="rId31" name="Check Box 1065">
          <controlPr defaultSize="0" autoFill="0" autoLine="0" autoPict="0">
            <anchor moveWithCells="1">
              <from>
                <xdr:col>1</xdr:col>
                <xdr:colOff>927100</xdr:colOff>
                <xdr:row>9</xdr:row>
                <xdr:rowOff>114300</xdr:rowOff>
              </from>
              <to>
                <xdr:col>3</xdr:col>
                <xdr:colOff>0</xdr:colOff>
                <xdr:row>10</xdr:row>
                <xdr:rowOff>0</xdr:rowOff>
              </to>
            </anchor>
          </controlPr>
        </control>
      </mc:Choice>
    </mc:AlternateContent>
    <mc:AlternateContent xmlns:mc="http://schemas.openxmlformats.org/markup-compatibility/2006">
      <mc:Choice Requires="x14">
        <control shapeId="123946" r:id="rId32" name="Check Box 1066">
          <controlPr defaultSize="0" autoFill="0" autoLine="0" autoPict="0">
            <anchor moveWithCells="1">
              <from>
                <xdr:col>1</xdr:col>
                <xdr:colOff>31750</xdr:colOff>
                <xdr:row>9</xdr:row>
                <xdr:rowOff>95250</xdr:rowOff>
              </from>
              <to>
                <xdr:col>1</xdr:col>
                <xdr:colOff>438150</xdr:colOff>
                <xdr:row>10</xdr:row>
                <xdr:rowOff>0</xdr:rowOff>
              </to>
            </anchor>
          </controlPr>
        </control>
      </mc:Choice>
    </mc:AlternateContent>
    <mc:AlternateContent xmlns:mc="http://schemas.openxmlformats.org/markup-compatibility/2006">
      <mc:Choice Requires="x14">
        <control shapeId="123947" r:id="rId33" name="Check Box 1067">
          <controlPr defaultSize="0" autoFill="0" autoLine="0" autoPict="0">
            <anchor moveWithCells="1">
              <from>
                <xdr:col>3</xdr:col>
                <xdr:colOff>895350</xdr:colOff>
                <xdr:row>9</xdr:row>
                <xdr:rowOff>88900</xdr:rowOff>
              </from>
              <to>
                <xdr:col>4</xdr:col>
                <xdr:colOff>571500</xdr:colOff>
                <xdr:row>9</xdr:row>
                <xdr:rowOff>190500</xdr:rowOff>
              </to>
            </anchor>
          </controlPr>
        </control>
      </mc:Choice>
    </mc:AlternateContent>
    <mc:AlternateContent xmlns:mc="http://schemas.openxmlformats.org/markup-compatibility/2006">
      <mc:Choice Requires="x14">
        <control shapeId="123948" r:id="rId34" name="Check Box 1068">
          <controlPr defaultSize="0" autoFill="0" autoLine="0" autoPict="0">
            <anchor moveWithCells="1">
              <from>
                <xdr:col>3</xdr:col>
                <xdr:colOff>279400</xdr:colOff>
                <xdr:row>9</xdr:row>
                <xdr:rowOff>88900</xdr:rowOff>
              </from>
              <to>
                <xdr:col>3</xdr:col>
                <xdr:colOff>946150</xdr:colOff>
                <xdr:row>10</xdr:row>
                <xdr:rowOff>0</xdr:rowOff>
              </to>
            </anchor>
          </controlPr>
        </control>
      </mc:Choice>
    </mc:AlternateContent>
    <mc:AlternateContent xmlns:mc="http://schemas.openxmlformats.org/markup-compatibility/2006">
      <mc:Choice Requires="x14">
        <control shapeId="123949" r:id="rId35" name="Group Box 1069">
          <controlPr defaultSize="0" autoFill="0" autoPict="0">
            <anchor moveWithCells="1">
              <from>
                <xdr:col>0</xdr:col>
                <xdr:colOff>50800</xdr:colOff>
                <xdr:row>96</xdr:row>
                <xdr:rowOff>0</xdr:rowOff>
              </from>
              <to>
                <xdr:col>4</xdr:col>
                <xdr:colOff>241300</xdr:colOff>
                <xdr:row>100</xdr:row>
                <xdr:rowOff>146050</xdr:rowOff>
              </to>
            </anchor>
          </controlPr>
        </control>
      </mc:Choice>
    </mc:AlternateContent>
    <mc:AlternateContent xmlns:mc="http://schemas.openxmlformats.org/markup-compatibility/2006">
      <mc:Choice Requires="x14">
        <control shapeId="123950" r:id="rId36" name="Option Button 1070">
          <controlPr defaultSize="0" autoFill="0" autoLine="0" autoPict="0">
            <anchor moveWithCells="1">
              <from>
                <xdr:col>4</xdr:col>
                <xdr:colOff>419100</xdr:colOff>
                <xdr:row>103</xdr:row>
                <xdr:rowOff>0</xdr:rowOff>
              </from>
              <to>
                <xdr:col>5</xdr:col>
                <xdr:colOff>50800</xdr:colOff>
                <xdr:row>104</xdr:row>
                <xdr:rowOff>50800</xdr:rowOff>
              </to>
            </anchor>
          </controlPr>
        </control>
      </mc:Choice>
    </mc:AlternateContent>
    <mc:AlternateContent xmlns:mc="http://schemas.openxmlformats.org/markup-compatibility/2006">
      <mc:Choice Requires="x14">
        <control shapeId="123951" r:id="rId37" name="Option Button 1071">
          <controlPr defaultSize="0" autoFill="0" autoLine="0" autoPict="0">
            <anchor moveWithCells="1">
              <from>
                <xdr:col>5</xdr:col>
                <xdr:colOff>571500</xdr:colOff>
                <xdr:row>103</xdr:row>
                <xdr:rowOff>12700</xdr:rowOff>
              </from>
              <to>
                <xdr:col>6</xdr:col>
                <xdr:colOff>0</xdr:colOff>
                <xdr:row>104</xdr:row>
                <xdr:rowOff>12700</xdr:rowOff>
              </to>
            </anchor>
          </controlPr>
        </control>
      </mc:Choice>
    </mc:AlternateContent>
    <mc:AlternateContent xmlns:mc="http://schemas.openxmlformats.org/markup-compatibility/2006">
      <mc:Choice Requires="x14">
        <control shapeId="123952" r:id="rId38" name="Group Box 1072">
          <controlPr defaultSize="0" autoFill="0" autoPict="0">
            <anchor moveWithCells="1">
              <from>
                <xdr:col>4</xdr:col>
                <xdr:colOff>361950</xdr:colOff>
                <xdr:row>102</xdr:row>
                <xdr:rowOff>12700</xdr:rowOff>
              </from>
              <to>
                <xdr:col>6</xdr:col>
                <xdr:colOff>533400</xdr:colOff>
                <xdr:row>104</xdr:row>
                <xdr:rowOff>165100</xdr:rowOff>
              </to>
            </anchor>
          </controlPr>
        </control>
      </mc:Choice>
    </mc:AlternateContent>
    <mc:AlternateContent xmlns:mc="http://schemas.openxmlformats.org/markup-compatibility/2006">
      <mc:Choice Requires="x14">
        <control shapeId="123953" r:id="rId39" name="Group Box 1073">
          <controlPr defaultSize="0" autoFill="0" autoPict="0">
            <anchor moveWithCells="1">
              <from>
                <xdr:col>0</xdr:col>
                <xdr:colOff>374650</xdr:colOff>
                <xdr:row>96</xdr:row>
                <xdr:rowOff>76200</xdr:rowOff>
              </from>
              <to>
                <xdr:col>4</xdr:col>
                <xdr:colOff>241300</xdr:colOff>
                <xdr:row>100</xdr:row>
                <xdr:rowOff>38100</xdr:rowOff>
              </to>
            </anchor>
          </controlPr>
        </control>
      </mc:Choice>
    </mc:AlternateContent>
    <mc:AlternateContent xmlns:mc="http://schemas.openxmlformats.org/markup-compatibility/2006">
      <mc:Choice Requires="x14">
        <control shapeId="123954" r:id="rId40" name="Option Button 1074">
          <controlPr defaultSize="0" autoFill="0" autoLine="0" autoPict="0">
            <anchor moveWithCells="1">
              <from>
                <xdr:col>4</xdr:col>
                <xdr:colOff>419100</xdr:colOff>
                <xdr:row>106</xdr:row>
                <xdr:rowOff>0</xdr:rowOff>
              </from>
              <to>
                <xdr:col>5</xdr:col>
                <xdr:colOff>50800</xdr:colOff>
                <xdr:row>107</xdr:row>
                <xdr:rowOff>50800</xdr:rowOff>
              </to>
            </anchor>
          </controlPr>
        </control>
      </mc:Choice>
    </mc:AlternateContent>
    <mc:AlternateContent xmlns:mc="http://schemas.openxmlformats.org/markup-compatibility/2006">
      <mc:Choice Requires="x14">
        <control shapeId="123955" r:id="rId41" name="Option Button 1075">
          <controlPr defaultSize="0" autoFill="0" autoLine="0" autoPict="0">
            <anchor moveWithCells="1">
              <from>
                <xdr:col>5</xdr:col>
                <xdr:colOff>571500</xdr:colOff>
                <xdr:row>106</xdr:row>
                <xdr:rowOff>12700</xdr:rowOff>
              </from>
              <to>
                <xdr:col>6</xdr:col>
                <xdr:colOff>0</xdr:colOff>
                <xdr:row>107</xdr:row>
                <xdr:rowOff>12700</xdr:rowOff>
              </to>
            </anchor>
          </controlPr>
        </control>
      </mc:Choice>
    </mc:AlternateContent>
    <mc:AlternateContent xmlns:mc="http://schemas.openxmlformats.org/markup-compatibility/2006">
      <mc:Choice Requires="x14">
        <control shapeId="123956" r:id="rId42" name="Group Box 1076">
          <controlPr defaultSize="0" autoFill="0" autoPict="0">
            <anchor moveWithCells="1">
              <from>
                <xdr:col>4</xdr:col>
                <xdr:colOff>266700</xdr:colOff>
                <xdr:row>105</xdr:row>
                <xdr:rowOff>69850</xdr:rowOff>
              </from>
              <to>
                <xdr:col>6</xdr:col>
                <xdr:colOff>323850</xdr:colOff>
                <xdr:row>108</xdr:row>
                <xdr:rowOff>50800</xdr:rowOff>
              </to>
            </anchor>
          </controlPr>
        </control>
      </mc:Choice>
    </mc:AlternateContent>
  </control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4"/>
  <dimension ref="A1:O198"/>
  <sheetViews>
    <sheetView showGridLines="0" zoomScale="90" zoomScaleNormal="90" workbookViewId="0">
      <selection sqref="A1:J1"/>
    </sheetView>
  </sheetViews>
  <sheetFormatPr defaultColWidth="0" defaultRowHeight="14.5" customHeight="1" zeroHeight="1"/>
  <cols>
    <col min="1" max="1" width="14.81640625" style="38" customWidth="1"/>
    <col min="2" max="2" width="9.54296875" style="38" customWidth="1"/>
    <col min="3" max="3" width="11.54296875" style="38" customWidth="1"/>
    <col min="4" max="4" width="15.54296875" style="38" customWidth="1"/>
    <col min="5" max="5" width="10.54296875" style="38" customWidth="1"/>
    <col min="6" max="6" width="12" style="38" customWidth="1"/>
    <col min="7" max="7" width="11.54296875" style="38" customWidth="1"/>
    <col min="8" max="10" width="10.54296875" style="38" customWidth="1"/>
    <col min="11" max="11" width="19.54296875" style="38" customWidth="1"/>
    <col min="12" max="13" width="10.54296875" style="38" customWidth="1"/>
    <col min="14" max="14" width="9.1796875" style="38" customWidth="1"/>
    <col min="15" max="15" width="12.7265625" style="38" customWidth="1"/>
    <col min="16" max="16384" width="12.7265625" style="38" hidden="1"/>
  </cols>
  <sheetData>
    <row r="1" spans="1:15" ht="55" customHeight="1">
      <c r="A1" s="1410" t="str">
        <f>Development!$A$3&amp;" Residential Efficiency Program"</f>
        <v>2025 Residential Efficiency Program</v>
      </c>
      <c r="B1" s="1410"/>
      <c r="C1" s="1410"/>
      <c r="D1" s="1410"/>
      <c r="E1" s="1410"/>
      <c r="F1" s="1410"/>
      <c r="G1" s="1410"/>
      <c r="H1" s="1410"/>
      <c r="I1" s="1410"/>
      <c r="J1" s="1410"/>
      <c r="K1" s="6"/>
      <c r="L1" s="6"/>
      <c r="M1" s="6"/>
      <c r="N1" s="6"/>
      <c r="O1" s="6"/>
    </row>
    <row r="2" spans="1:15" ht="55" customHeight="1">
      <c r="A2" s="1418" t="s">
        <v>100</v>
      </c>
      <c r="B2" s="1418"/>
      <c r="C2" s="1418"/>
      <c r="D2" s="1418"/>
      <c r="E2" s="1418"/>
      <c r="F2" s="1418"/>
      <c r="G2" s="1418"/>
      <c r="H2" s="1418"/>
      <c r="I2" s="1418"/>
      <c r="J2" s="1418"/>
      <c r="K2" s="7"/>
      <c r="L2" s="7"/>
      <c r="M2" s="7"/>
      <c r="N2" s="7"/>
      <c r="O2" s="7"/>
    </row>
    <row r="3" spans="1:15" ht="23.5" thickBot="1">
      <c r="A3" s="23" t="s">
        <v>102</v>
      </c>
      <c r="B3" s="23"/>
      <c r="C3" s="23"/>
      <c r="D3" s="23"/>
      <c r="E3" s="23"/>
      <c r="F3" s="23"/>
      <c r="G3" s="23"/>
      <c r="H3" s="23"/>
      <c r="I3" s="23"/>
      <c r="J3" s="23"/>
      <c r="K3" s="23"/>
      <c r="L3" s="23"/>
      <c r="M3" s="23"/>
      <c r="N3" s="23"/>
      <c r="O3" s="23"/>
    </row>
    <row r="4" spans="1:15" ht="18.75" customHeight="1">
      <c r="A4" s="24"/>
      <c r="B4" s="24"/>
      <c r="C4" s="24"/>
      <c r="D4" s="24"/>
      <c r="E4" s="24"/>
      <c r="F4" s="24"/>
      <c r="G4" s="24"/>
      <c r="H4" s="24"/>
      <c r="I4" s="24"/>
      <c r="J4" s="24"/>
      <c r="K4" s="24"/>
      <c r="L4" s="24"/>
      <c r="M4" s="24"/>
      <c r="N4" s="24"/>
      <c r="O4" s="24"/>
    </row>
    <row r="5" spans="1:15" ht="18" customHeight="1">
      <c r="A5" s="19" t="s">
        <v>104</v>
      </c>
      <c r="B5" s="91" t="e">
        <f>#REF!</f>
        <v>#REF!</v>
      </c>
      <c r="C5" s="1433"/>
      <c r="D5" s="1433"/>
      <c r="E5" s="19"/>
      <c r="F5" s="19"/>
      <c r="G5" s="19" t="s">
        <v>57</v>
      </c>
      <c r="H5" s="1426" t="e">
        <f>IF(#REF!="","",#REF!)</f>
        <v>#REF!</v>
      </c>
      <c r="I5" s="1426"/>
      <c r="J5" s="15"/>
      <c r="K5" s="7"/>
      <c r="L5" s="7"/>
      <c r="M5" s="7"/>
      <c r="N5" s="7"/>
      <c r="O5" s="7"/>
    </row>
    <row r="6" spans="1:15" ht="18" customHeight="1">
      <c r="A6" s="19"/>
      <c r="B6" s="19"/>
      <c r="C6" s="19"/>
      <c r="D6" s="19"/>
      <c r="E6" s="19"/>
      <c r="F6" s="19"/>
      <c r="G6" s="19"/>
      <c r="H6" s="19"/>
      <c r="I6" s="15"/>
      <c r="J6" s="15"/>
      <c r="K6" s="7"/>
      <c r="L6" s="7"/>
      <c r="M6" s="7"/>
      <c r="N6" s="7"/>
      <c r="O6" s="7"/>
    </row>
    <row r="7" spans="1:15" ht="18" customHeight="1">
      <c r="B7" s="19"/>
      <c r="D7" s="19"/>
      <c r="E7" s="19"/>
      <c r="F7" s="19"/>
      <c r="G7" s="19" t="s">
        <v>103</v>
      </c>
      <c r="H7" s="1426" t="e">
        <f>IF(#REF!="","",#REF!)</f>
        <v>#REF!</v>
      </c>
      <c r="I7" s="1426"/>
      <c r="J7" s="15"/>
      <c r="K7" s="7"/>
      <c r="L7" s="7"/>
      <c r="M7" s="7"/>
      <c r="N7" s="7"/>
      <c r="O7" s="7"/>
    </row>
    <row r="8" spans="1:15" ht="23">
      <c r="A8" s="21" t="s">
        <v>101</v>
      </c>
      <c r="B8" s="20"/>
      <c r="C8" s="20"/>
      <c r="D8" s="20"/>
      <c r="E8" s="20"/>
      <c r="F8" s="20"/>
      <c r="G8" s="20"/>
      <c r="H8" s="20"/>
      <c r="I8" s="20"/>
      <c r="J8" s="20"/>
      <c r="K8" s="20"/>
      <c r="L8" s="20"/>
      <c r="M8" s="13"/>
      <c r="N8" s="20"/>
      <c r="O8" s="20"/>
    </row>
    <row r="9" spans="1:15" ht="30.5">
      <c r="A9" s="15"/>
      <c r="B9" s="65" t="s">
        <v>26</v>
      </c>
      <c r="C9" s="66"/>
      <c r="D9" s="65" t="s">
        <v>27</v>
      </c>
      <c r="E9" s="67"/>
      <c r="F9" s="15"/>
      <c r="G9" s="15"/>
      <c r="H9" s="15"/>
      <c r="I9" s="15"/>
      <c r="J9" s="15"/>
      <c r="K9" s="7"/>
      <c r="L9" s="7"/>
      <c r="M9" s="7"/>
      <c r="N9" s="7"/>
      <c r="O9" s="7"/>
    </row>
    <row r="10" spans="1:15" ht="24" customHeight="1">
      <c r="A10" s="7"/>
      <c r="B10" s="22"/>
      <c r="C10" s="22"/>
      <c r="D10" s="22"/>
      <c r="E10" s="22"/>
      <c r="G10" s="17"/>
      <c r="H10" s="17"/>
      <c r="J10" s="7"/>
      <c r="K10" s="7"/>
      <c r="L10" s="7"/>
      <c r="M10" s="7"/>
      <c r="N10" s="7"/>
      <c r="O10" s="7"/>
    </row>
    <row r="11" spans="1:15" ht="23.5" thickBot="1">
      <c r="A11" s="18" t="s">
        <v>48</v>
      </c>
      <c r="B11" s="18"/>
      <c r="C11" s="18"/>
      <c r="D11" s="18"/>
      <c r="E11" s="18"/>
      <c r="F11" s="18"/>
      <c r="G11" s="18"/>
      <c r="H11" s="18"/>
      <c r="I11" s="18"/>
      <c r="J11" s="18"/>
      <c r="K11" s="18"/>
      <c r="L11" s="18"/>
      <c r="M11" s="18"/>
      <c r="N11" s="18"/>
      <c r="O11" s="18"/>
    </row>
    <row r="12" spans="1:15" ht="6.75" customHeight="1">
      <c r="A12" s="4"/>
      <c r="B12" s="5"/>
      <c r="C12" s="5"/>
      <c r="D12" s="5"/>
      <c r="E12" s="5"/>
      <c r="F12" s="5"/>
      <c r="G12" s="5"/>
      <c r="H12" s="5"/>
      <c r="I12" s="5"/>
      <c r="J12" s="5"/>
      <c r="K12" s="5"/>
      <c r="L12" s="5"/>
      <c r="M12" s="5"/>
      <c r="N12" s="5"/>
      <c r="O12" s="5"/>
    </row>
    <row r="13" spans="1:15" ht="27.75" customHeight="1">
      <c r="A13" s="126" t="s">
        <v>299</v>
      </c>
      <c r="B13" s="5"/>
      <c r="C13" s="5"/>
      <c r="D13" s="5"/>
      <c r="E13" s="5"/>
      <c r="F13" s="5"/>
      <c r="G13" s="5"/>
      <c r="H13" s="5"/>
      <c r="I13" s="5"/>
      <c r="J13" s="5"/>
      <c r="K13" s="5"/>
      <c r="L13" s="5"/>
      <c r="M13" s="5"/>
      <c r="N13" s="5"/>
      <c r="O13" s="5"/>
    </row>
    <row r="14" spans="1:15" ht="27.75" customHeight="1">
      <c r="A14" s="126"/>
      <c r="B14" s="5"/>
      <c r="C14" s="5"/>
      <c r="D14" s="5"/>
      <c r="E14" s="5"/>
      <c r="F14" s="5"/>
      <c r="G14" s="5"/>
      <c r="H14" s="5"/>
      <c r="I14" s="5"/>
      <c r="J14" s="5"/>
      <c r="K14" s="5"/>
      <c r="L14" s="5"/>
      <c r="M14" s="5"/>
      <c r="N14" s="5"/>
      <c r="O14" s="5"/>
    </row>
    <row r="15" spans="1:15" ht="33.65" customHeight="1">
      <c r="A15" s="38" t="s">
        <v>334</v>
      </c>
      <c r="E15" s="1211"/>
      <c r="F15" s="1211"/>
      <c r="G15" s="38" t="str">
        <f>IF(OR(E15=""),"",'Air Flow References'!Z4)</f>
        <v/>
      </c>
      <c r="L15" s="39" t="s">
        <v>335</v>
      </c>
      <c r="M15" s="1403"/>
      <c r="N15" s="1403"/>
      <c r="O15" s="38" t="str">
        <f>IF(OR(M15=""),"",'Air Flow References'!Z6)</f>
        <v/>
      </c>
    </row>
    <row r="16" spans="1:15" ht="33.65" customHeight="1"/>
    <row r="17" spans="1:15" ht="33.65" customHeight="1">
      <c r="A17" s="125" t="s">
        <v>351</v>
      </c>
    </row>
    <row r="18" spans="1:15" ht="33.65" customHeight="1">
      <c r="A18" s="1354" t="s">
        <v>336</v>
      </c>
      <c r="B18" s="1354"/>
      <c r="C18" s="1354"/>
      <c r="D18" s="1354"/>
      <c r="E18" s="1404"/>
      <c r="F18" s="1404"/>
      <c r="G18" s="38" t="str">
        <f>IF(OR(E18=""),"",'Air Flow References'!Z5)</f>
        <v/>
      </c>
      <c r="H18" s="41" t="s">
        <v>296</v>
      </c>
      <c r="I18" s="41"/>
      <c r="L18" s="39" t="s">
        <v>337</v>
      </c>
      <c r="M18" s="1211"/>
      <c r="N18" s="1211"/>
      <c r="O18" s="38" t="str">
        <f>IF(OR(M18=""),"",'Air Flow References'!Z7)</f>
        <v/>
      </c>
    </row>
    <row r="19" spans="1:15" ht="33.65" customHeight="1"/>
    <row r="20" spans="1:15" ht="33.65" customHeight="1">
      <c r="A20" s="38" t="s">
        <v>340</v>
      </c>
    </row>
    <row r="21" spans="1:15" ht="33.65" customHeight="1"/>
    <row r="22" spans="1:15" ht="33.65" customHeight="1">
      <c r="A22" s="38" t="s">
        <v>341</v>
      </c>
      <c r="E22" s="1403"/>
      <c r="F22" s="1403"/>
      <c r="G22" s="38" t="str">
        <f>IF(OR(E22=""),"",'Air Flow References'!Z9)</f>
        <v/>
      </c>
      <c r="H22" s="68"/>
      <c r="I22" s="68"/>
      <c r="J22" s="68"/>
      <c r="K22" s="68"/>
    </row>
    <row r="23" spans="1:15" ht="33.65" customHeight="1">
      <c r="A23" s="137" t="s">
        <v>353</v>
      </c>
      <c r="E23" s="140"/>
      <c r="F23" s="140"/>
    </row>
    <row r="24" spans="1:15" ht="33.65" customHeight="1">
      <c r="E24" s="140"/>
      <c r="F24" s="140"/>
    </row>
    <row r="25" spans="1:15" ht="33.65" customHeight="1">
      <c r="A25" s="38" t="s">
        <v>342</v>
      </c>
      <c r="E25" s="1403"/>
      <c r="F25" s="1403"/>
      <c r="G25" s="38" t="str">
        <f>IF(OR(E25=""),"",'Air Flow References'!Z8)</f>
        <v/>
      </c>
    </row>
    <row r="26" spans="1:15" ht="33.65" customHeight="1">
      <c r="A26" s="137" t="s">
        <v>354</v>
      </c>
      <c r="E26" s="140"/>
      <c r="F26" s="140"/>
    </row>
    <row r="27" spans="1:15" ht="33.65" customHeight="1">
      <c r="A27" s="137"/>
      <c r="E27" s="140"/>
      <c r="F27" s="140"/>
    </row>
    <row r="28" spans="1:15" ht="33.65" customHeight="1"/>
    <row r="29" spans="1:15">
      <c r="A29" s="1354" t="s">
        <v>44</v>
      </c>
      <c r="B29" s="1354"/>
      <c r="C29" s="1354"/>
      <c r="D29" s="1354"/>
      <c r="E29" s="1354"/>
      <c r="F29" s="1354"/>
      <c r="G29" s="1354"/>
      <c r="H29" s="1354"/>
      <c r="I29" s="1354"/>
      <c r="J29" s="1354"/>
      <c r="K29" s="1354"/>
      <c r="L29" s="1354"/>
      <c r="M29" s="1354"/>
    </row>
    <row r="30" spans="1:15" ht="33.65" customHeight="1">
      <c r="A30" s="38" t="s">
        <v>45</v>
      </c>
      <c r="C30" s="1409"/>
      <c r="D30" s="1409"/>
      <c r="E30" s="1409"/>
      <c r="F30" s="1409"/>
      <c r="G30" s="1409"/>
      <c r="H30" s="1409"/>
      <c r="I30" s="1409"/>
      <c r="J30" s="1409"/>
      <c r="K30" s="1409"/>
      <c r="L30" s="1409"/>
    </row>
    <row r="31" spans="1:15"/>
    <row r="32" spans="1:15">
      <c r="A32" s="41" t="s">
        <v>47</v>
      </c>
    </row>
    <row r="33" spans="1:15">
      <c r="A33" s="38" t="s">
        <v>1514</v>
      </c>
    </row>
    <row r="34" spans="1:15">
      <c r="A34" s="38" t="s">
        <v>46</v>
      </c>
    </row>
    <row r="35" spans="1:15"/>
    <row r="36" spans="1:15" ht="23.5" thickBot="1">
      <c r="A36" s="18" t="s">
        <v>178</v>
      </c>
      <c r="B36" s="18"/>
      <c r="C36" s="18"/>
      <c r="D36" s="18"/>
      <c r="E36" s="18"/>
      <c r="F36" s="18"/>
      <c r="G36" s="18"/>
      <c r="H36" s="18"/>
      <c r="I36" s="18"/>
      <c r="J36" s="18"/>
      <c r="K36" s="18"/>
      <c r="L36" s="18"/>
      <c r="M36" s="18"/>
      <c r="N36" s="18"/>
      <c r="O36" s="18"/>
    </row>
    <row r="37" spans="1:15" ht="23">
      <c r="A37" s="4"/>
      <c r="B37" s="4"/>
      <c r="C37" s="4"/>
      <c r="D37" s="4"/>
      <c r="E37" s="4"/>
      <c r="F37" s="4"/>
      <c r="G37" s="4"/>
      <c r="H37" s="4"/>
      <c r="I37" s="4"/>
      <c r="J37" s="4"/>
      <c r="K37" s="4"/>
      <c r="L37" s="4"/>
      <c r="M37" s="4"/>
      <c r="N37" s="4"/>
      <c r="O37" s="4"/>
    </row>
    <row r="38" spans="1:15" ht="23">
      <c r="A38" s="3" t="s">
        <v>73</v>
      </c>
      <c r="B38" s="4"/>
      <c r="C38" s="4"/>
      <c r="D38" s="4"/>
      <c r="E38" s="4"/>
      <c r="F38" s="4"/>
      <c r="G38" s="4"/>
      <c r="H38" s="4"/>
      <c r="I38" s="1424"/>
      <c r="J38" s="1424"/>
      <c r="K38" s="4"/>
      <c r="L38" s="4"/>
      <c r="M38" s="4"/>
    </row>
    <row r="39" spans="1:15" ht="23">
      <c r="A39" s="4"/>
      <c r="B39" s="4"/>
      <c r="C39" s="4"/>
      <c r="D39" s="4"/>
      <c r="E39" s="4"/>
      <c r="F39" s="4"/>
      <c r="G39" s="4"/>
      <c r="H39" s="4"/>
      <c r="I39" s="4"/>
      <c r="J39" s="4"/>
      <c r="K39" s="4"/>
      <c r="L39" s="4"/>
      <c r="M39" s="4"/>
      <c r="N39" s="4"/>
      <c r="O39" s="4"/>
    </row>
    <row r="40" spans="1:15">
      <c r="A40" s="42" t="s">
        <v>164</v>
      </c>
      <c r="B40" s="42"/>
      <c r="C40" s="42"/>
      <c r="D40" s="42"/>
      <c r="E40" s="42"/>
      <c r="F40" s="42"/>
      <c r="G40" s="42"/>
      <c r="H40" s="42"/>
      <c r="I40" s="42"/>
      <c r="J40" s="42"/>
      <c r="K40" s="42"/>
      <c r="L40" s="42"/>
      <c r="M40" s="42"/>
      <c r="N40" s="42"/>
      <c r="O40" s="42"/>
    </row>
    <row r="41" spans="1:15">
      <c r="A41" s="43"/>
      <c r="B41" s="44"/>
      <c r="C41" s="44"/>
      <c r="D41" s="44"/>
      <c r="E41" s="44"/>
      <c r="F41" s="44"/>
      <c r="G41" s="44"/>
      <c r="H41" s="44"/>
      <c r="I41" s="44"/>
      <c r="J41" s="44"/>
      <c r="K41" s="44"/>
      <c r="L41" s="44"/>
      <c r="M41" s="44"/>
      <c r="N41" s="44"/>
    </row>
    <row r="42" spans="1:15">
      <c r="A42" s="48" t="s">
        <v>71</v>
      </c>
    </row>
    <row r="43" spans="1:15">
      <c r="A43" s="45" t="s">
        <v>72</v>
      </c>
    </row>
    <row r="44" spans="1:15">
      <c r="A44" s="45"/>
    </row>
    <row r="45" spans="1:15">
      <c r="A45" s="45"/>
      <c r="E45" s="1417"/>
      <c r="F45" s="1417"/>
    </row>
    <row r="46" spans="1:15">
      <c r="A46" s="45"/>
    </row>
    <row r="47" spans="1:15">
      <c r="A47" s="45"/>
    </row>
    <row r="48" spans="1:15">
      <c r="A48" s="45"/>
    </row>
    <row r="49" spans="1:7">
      <c r="A49" s="45"/>
      <c r="B49" s="38" t="s">
        <v>86</v>
      </c>
      <c r="E49" s="90"/>
      <c r="F49" s="38" t="s">
        <v>77</v>
      </c>
      <c r="G49" s="38" t="str">
        <f>IF(OR(E49=""),"",'Air Flow References'!Z16)</f>
        <v/>
      </c>
    </row>
    <row r="50" spans="1:7">
      <c r="A50" s="45"/>
    </row>
    <row r="51" spans="1:7">
      <c r="A51" s="45"/>
      <c r="B51" s="38" t="s">
        <v>87</v>
      </c>
      <c r="E51" s="90"/>
      <c r="F51" s="50" t="s">
        <v>77</v>
      </c>
      <c r="G51" s="38" t="str">
        <f>IF(OR(E51=""),"",'Air Flow References'!Z17)</f>
        <v/>
      </c>
    </row>
    <row r="52" spans="1:7">
      <c r="A52" s="45"/>
    </row>
    <row r="53" spans="1:7">
      <c r="A53" s="48" t="s">
        <v>78</v>
      </c>
    </row>
    <row r="54" spans="1:7">
      <c r="A54" s="48"/>
    </row>
    <row r="55" spans="1:7">
      <c r="A55" s="45" t="s">
        <v>88</v>
      </c>
      <c r="E55" s="90"/>
      <c r="F55" s="38" t="s">
        <v>82</v>
      </c>
      <c r="G55" s="38" t="str">
        <f>IF(OR(E55=""),"",'Air Flow References'!Z18)</f>
        <v/>
      </c>
    </row>
    <row r="56" spans="1:7">
      <c r="A56" s="45"/>
    </row>
    <row r="57" spans="1:7">
      <c r="A57" s="45" t="s">
        <v>89</v>
      </c>
      <c r="E57" s="90"/>
      <c r="F57" s="38" t="s">
        <v>77</v>
      </c>
      <c r="G57" s="38" t="str">
        <f>IF(OR(E57=""),"",'Air Flow References'!Z19)</f>
        <v/>
      </c>
    </row>
    <row r="58" spans="1:7">
      <c r="A58" s="45"/>
    </row>
    <row r="59" spans="1:7">
      <c r="A59" s="45" t="s">
        <v>90</v>
      </c>
      <c r="E59" s="90"/>
      <c r="F59" s="38" t="s">
        <v>77</v>
      </c>
      <c r="G59" s="38" t="str">
        <f>IF(OR(E59=""),"",'Air Flow References'!Z20)</f>
        <v/>
      </c>
    </row>
    <row r="60" spans="1:7">
      <c r="A60" s="45"/>
    </row>
    <row r="61" spans="1:7">
      <c r="A61" s="45" t="s">
        <v>91</v>
      </c>
      <c r="E61" s="92" t="str">
        <f>IF(OR(E57="",E59=""),"",E57-E59)</f>
        <v/>
      </c>
      <c r="F61" s="38" t="s">
        <v>77</v>
      </c>
      <c r="G61" s="38" t="str">
        <f>'Air Flow References'!Z21</f>
        <v/>
      </c>
    </row>
    <row r="62" spans="1:7">
      <c r="A62" s="45"/>
    </row>
    <row r="63" spans="1:7">
      <c r="A63" s="51" t="s">
        <v>92</v>
      </c>
    </row>
    <row r="64" spans="1:7">
      <c r="A64" s="45"/>
    </row>
    <row r="65" spans="1:15">
      <c r="A65" s="52" t="s">
        <v>93</v>
      </c>
      <c r="B65" s="53"/>
      <c r="C65" s="53"/>
      <c r="D65" s="53"/>
      <c r="E65" s="53"/>
      <c r="F65" s="53"/>
      <c r="G65" s="53"/>
      <c r="H65" s="53"/>
      <c r="I65" s="53"/>
      <c r="J65" s="53"/>
      <c r="K65" s="53"/>
      <c r="L65" s="53"/>
      <c r="M65" s="53"/>
      <c r="N65" s="53"/>
    </row>
    <row r="66" spans="1:15">
      <c r="A66" s="42" t="s">
        <v>199</v>
      </c>
      <c r="B66" s="42"/>
      <c r="C66" s="42"/>
      <c r="D66" s="42"/>
      <c r="E66" s="42"/>
      <c r="F66" s="42"/>
      <c r="G66" s="42"/>
      <c r="H66" s="42"/>
      <c r="I66" s="42"/>
      <c r="J66" s="42"/>
      <c r="K66" s="42"/>
      <c r="L66" s="42"/>
      <c r="M66" s="42"/>
      <c r="N66" s="42"/>
      <c r="O66" s="42"/>
    </row>
    <row r="67" spans="1:15">
      <c r="A67" s="43"/>
      <c r="B67" s="44"/>
      <c r="C67" s="44"/>
      <c r="D67" s="44"/>
      <c r="E67" s="44"/>
      <c r="F67" s="44"/>
      <c r="G67" s="44"/>
      <c r="H67" s="44"/>
      <c r="I67" s="44"/>
      <c r="J67" s="44"/>
      <c r="K67" s="44"/>
      <c r="L67" s="44"/>
      <c r="M67" s="44"/>
      <c r="N67" s="44"/>
    </row>
    <row r="68" spans="1:15">
      <c r="A68" s="48" t="s">
        <v>71</v>
      </c>
    </row>
    <row r="69" spans="1:15">
      <c r="A69" s="45" t="s">
        <v>72</v>
      </c>
    </row>
    <row r="70" spans="1:15">
      <c r="A70" s="45"/>
    </row>
    <row r="71" spans="1:15">
      <c r="A71" s="45"/>
      <c r="E71" s="1417"/>
      <c r="F71" s="1417"/>
    </row>
    <row r="72" spans="1:15">
      <c r="A72" s="45"/>
    </row>
    <row r="73" spans="1:15">
      <c r="A73" s="45"/>
    </row>
    <row r="74" spans="1:15">
      <c r="A74" s="45"/>
      <c r="B74" s="38" t="s">
        <v>74</v>
      </c>
      <c r="E74" s="90"/>
      <c r="F74" s="38" t="s">
        <v>298</v>
      </c>
      <c r="G74" s="148" t="str">
        <f>IF(OR(E74=""),"",'Air Flow References'!Z28)</f>
        <v/>
      </c>
    </row>
    <row r="75" spans="1:15">
      <c r="A75" s="45"/>
      <c r="B75" s="125" t="s">
        <v>297</v>
      </c>
      <c r="E75" s="143"/>
      <c r="G75" s="49"/>
    </row>
    <row r="76" spans="1:15">
      <c r="A76" s="45"/>
    </row>
    <row r="77" spans="1:15">
      <c r="A77" s="45"/>
      <c r="B77" s="38" t="s">
        <v>75</v>
      </c>
      <c r="E77" s="90"/>
      <c r="F77" s="38" t="s">
        <v>77</v>
      </c>
      <c r="G77" s="38" t="str">
        <f>IF(OR(E77=""),"",'Air Flow References'!Z29)</f>
        <v/>
      </c>
    </row>
    <row r="78" spans="1:15">
      <c r="A78" s="45"/>
    </row>
    <row r="79" spans="1:15">
      <c r="A79" s="45"/>
      <c r="B79" s="38" t="s">
        <v>76</v>
      </c>
      <c r="E79" s="90"/>
      <c r="F79" s="50" t="s">
        <v>77</v>
      </c>
      <c r="G79" s="38" t="str">
        <f>IF(OR(E79=""),"",'Air Flow References'!Z30)</f>
        <v/>
      </c>
    </row>
    <row r="80" spans="1:15">
      <c r="A80" s="45"/>
    </row>
    <row r="81" spans="1:15">
      <c r="A81" s="45"/>
    </row>
    <row r="82" spans="1:15">
      <c r="A82" s="48" t="s">
        <v>78</v>
      </c>
    </row>
    <row r="83" spans="1:15">
      <c r="A83" s="45"/>
    </row>
    <row r="84" spans="1:15">
      <c r="A84" s="45" t="s">
        <v>79</v>
      </c>
      <c r="E84" s="90"/>
      <c r="F84" s="38" t="s">
        <v>82</v>
      </c>
      <c r="G84" s="38" t="str">
        <f>IF(OR(E84=""),"",'Air Flow References'!Z31)</f>
        <v/>
      </c>
    </row>
    <row r="85" spans="1:15">
      <c r="A85" s="45"/>
    </row>
    <row r="86" spans="1:15">
      <c r="A86" s="45" t="s">
        <v>80</v>
      </c>
      <c r="E86" s="90"/>
      <c r="F86" s="50" t="s">
        <v>77</v>
      </c>
      <c r="G86" s="38" t="str">
        <f>IF(OR(E86=""),"",'Air Flow References'!Z32)</f>
        <v/>
      </c>
    </row>
    <row r="87" spans="1:15">
      <c r="A87" s="45"/>
    </row>
    <row r="88" spans="1:15">
      <c r="A88" s="45" t="s">
        <v>81</v>
      </c>
      <c r="E88" s="90"/>
      <c r="F88" s="50" t="s">
        <v>77</v>
      </c>
      <c r="G88" s="38" t="str">
        <f>IF(OR(E88=""),"",'Air Flow References'!Z33)</f>
        <v/>
      </c>
    </row>
    <row r="89" spans="1:15">
      <c r="A89" s="45"/>
    </row>
    <row r="90" spans="1:15">
      <c r="A90" s="45" t="s">
        <v>83</v>
      </c>
      <c r="E90" s="92" t="str">
        <f>IF(OR(E86="",E88=""),"",E88-E86)</f>
        <v/>
      </c>
      <c r="F90" s="50" t="s">
        <v>77</v>
      </c>
      <c r="G90" s="38" t="str">
        <f>'Air Flow References'!Z34</f>
        <v/>
      </c>
    </row>
    <row r="91" spans="1:15">
      <c r="A91" s="45"/>
    </row>
    <row r="92" spans="1:15">
      <c r="A92" s="51" t="s">
        <v>84</v>
      </c>
    </row>
    <row r="93" spans="1:15">
      <c r="A93" s="45"/>
    </row>
    <row r="94" spans="1:15">
      <c r="A94" s="41" t="s">
        <v>85</v>
      </c>
    </row>
    <row r="95" spans="1:15" ht="18" customHeight="1">
      <c r="A95" s="42" t="s">
        <v>575</v>
      </c>
      <c r="B95" s="42"/>
      <c r="C95" s="42"/>
      <c r="D95" s="42"/>
      <c r="E95" s="42"/>
      <c r="F95" s="42"/>
      <c r="G95" s="42"/>
      <c r="H95" s="42"/>
      <c r="I95" s="42"/>
      <c r="J95" s="42"/>
      <c r="K95" s="42"/>
      <c r="L95" s="42"/>
      <c r="M95" s="42"/>
      <c r="N95" s="42"/>
      <c r="O95" s="42"/>
    </row>
    <row r="96" spans="1:15">
      <c r="A96" s="43"/>
      <c r="B96" s="44"/>
      <c r="C96" s="44"/>
      <c r="D96" s="44"/>
      <c r="E96" s="44"/>
      <c r="F96" s="44"/>
      <c r="G96" s="44"/>
      <c r="H96" s="44"/>
      <c r="I96" s="44"/>
      <c r="J96" s="44"/>
      <c r="K96" s="44"/>
      <c r="L96" s="44"/>
      <c r="M96" s="44"/>
      <c r="N96" s="44"/>
    </row>
    <row r="97" spans="1:14">
      <c r="A97" s="45" t="s">
        <v>49</v>
      </c>
    </row>
    <row r="98" spans="1:14" ht="9.75" customHeight="1">
      <c r="A98" s="45"/>
    </row>
    <row r="99" spans="1:14" ht="15.75" customHeight="1">
      <c r="A99" s="45"/>
      <c r="E99" s="1211"/>
      <c r="F99" s="1211"/>
      <c r="G99" s="38" t="s">
        <v>50</v>
      </c>
    </row>
    <row r="100" spans="1:14">
      <c r="A100" s="1397" t="s">
        <v>1432</v>
      </c>
      <c r="B100" s="1124"/>
    </row>
    <row r="101" spans="1:14">
      <c r="A101" s="1397"/>
      <c r="B101" s="1124"/>
      <c r="C101" s="463"/>
      <c r="D101" s="38" t="s">
        <v>1515</v>
      </c>
      <c r="E101" s="463"/>
      <c r="F101" s="38" t="s">
        <v>1516</v>
      </c>
    </row>
    <row r="102" spans="1:14">
      <c r="A102" s="45"/>
    </row>
    <row r="103" spans="1:14">
      <c r="A103" s="45"/>
    </row>
    <row r="104" spans="1:14">
      <c r="A104" s="45" t="s">
        <v>1517</v>
      </c>
      <c r="E104" s="295"/>
    </row>
    <row r="105" spans="1:14">
      <c r="A105" s="45"/>
    </row>
    <row r="106" spans="1:14">
      <c r="A106" s="45"/>
    </row>
    <row r="107" spans="1:14">
      <c r="A107" s="45" t="s">
        <v>59</v>
      </c>
      <c r="E107" s="295"/>
    </row>
    <row r="108" spans="1:14">
      <c r="A108" s="45"/>
    </row>
    <row r="109" spans="1:14">
      <c r="A109" s="45"/>
    </row>
    <row r="110" spans="1:14">
      <c r="A110" s="45" t="s">
        <v>1433</v>
      </c>
      <c r="C110" s="463"/>
      <c r="D110" s="38" t="s">
        <v>60</v>
      </c>
    </row>
    <row r="111" spans="1:14">
      <c r="A111" s="45"/>
    </row>
    <row r="112" spans="1:14">
      <c r="A112" s="45" t="s">
        <v>61</v>
      </c>
      <c r="D112" s="504"/>
      <c r="E112" s="38" t="s">
        <v>62</v>
      </c>
      <c r="F112" s="38" t="s">
        <v>63</v>
      </c>
      <c r="G112" s="460"/>
      <c r="H112" s="38" t="s">
        <v>60</v>
      </c>
      <c r="I112" s="38" t="s">
        <v>64</v>
      </c>
      <c r="J112" s="434"/>
      <c r="K112" s="38" t="s">
        <v>65</v>
      </c>
      <c r="L112" s="46" t="s">
        <v>66</v>
      </c>
      <c r="M112" s="460"/>
      <c r="N112" s="38" t="s">
        <v>67</v>
      </c>
    </row>
    <row r="113" spans="1:15">
      <c r="A113" s="45"/>
      <c r="L113" s="46"/>
    </row>
    <row r="114" spans="1:15">
      <c r="A114" s="45" t="s">
        <v>142</v>
      </c>
      <c r="D114" s="504"/>
      <c r="E114" s="38" t="s">
        <v>62</v>
      </c>
      <c r="F114" s="38" t="s">
        <v>63</v>
      </c>
      <c r="G114" s="460"/>
      <c r="H114" s="38" t="s">
        <v>60</v>
      </c>
      <c r="I114" s="38" t="s">
        <v>64</v>
      </c>
      <c r="J114" s="434"/>
      <c r="K114" s="38" t="s">
        <v>65</v>
      </c>
      <c r="L114" s="46" t="s">
        <v>66</v>
      </c>
      <c r="M114" s="460"/>
      <c r="N114" s="38" t="s">
        <v>67</v>
      </c>
    </row>
    <row r="115" spans="1:15">
      <c r="A115" s="45"/>
    </row>
    <row r="116" spans="1:15">
      <c r="A116" s="47" t="s">
        <v>190</v>
      </c>
      <c r="M116" s="460"/>
      <c r="N116" s="38" t="s">
        <v>67</v>
      </c>
    </row>
    <row r="117" spans="1:15">
      <c r="A117" s="45"/>
    </row>
    <row r="118" spans="1:15">
      <c r="A118" s="1401" t="s">
        <v>68</v>
      </c>
      <c r="B118" s="1399"/>
      <c r="C118" s="1399"/>
      <c r="D118" s="1399"/>
      <c r="E118" s="1402"/>
      <c r="F118" s="1398" t="s">
        <v>69</v>
      </c>
      <c r="G118" s="1398"/>
      <c r="H118" s="1398"/>
      <c r="I118" s="1398"/>
      <c r="J118" s="1398"/>
      <c r="K118" s="1398"/>
      <c r="L118" s="139"/>
      <c r="M118" s="1413" t="str">
        <f>IF(AND(M112="",M114="",M116=""),"",M112+M114+M116)</f>
        <v/>
      </c>
      <c r="N118" s="1399" t="s">
        <v>67</v>
      </c>
    </row>
    <row r="119" spans="1:15">
      <c r="A119" s="1401"/>
      <c r="B119" s="1399"/>
      <c r="C119" s="1399"/>
      <c r="D119" s="1399"/>
      <c r="E119" s="1402"/>
      <c r="F119" s="1398"/>
      <c r="G119" s="1398"/>
      <c r="H119" s="1398"/>
      <c r="I119" s="1398"/>
      <c r="J119" s="1398"/>
      <c r="K119" s="1398"/>
      <c r="L119" s="139"/>
      <c r="M119" s="1414"/>
      <c r="N119" s="1399"/>
    </row>
    <row r="120" spans="1:15">
      <c r="A120" s="459"/>
      <c r="B120" s="458"/>
      <c r="C120" s="458"/>
      <c r="D120" s="458"/>
      <c r="E120" s="458"/>
      <c r="F120" s="458"/>
      <c r="G120" s="458"/>
      <c r="H120" s="458"/>
      <c r="I120" s="458"/>
      <c r="J120" s="458"/>
      <c r="K120" s="458"/>
      <c r="L120" s="139"/>
      <c r="M120" s="461"/>
      <c r="N120" s="458"/>
    </row>
    <row r="121" spans="1:15">
      <c r="A121" s="459"/>
      <c r="B121" s="458"/>
      <c r="C121" s="458"/>
      <c r="D121" s="458"/>
      <c r="E121" s="458"/>
      <c r="F121" s="458"/>
      <c r="G121" s="458"/>
      <c r="H121" s="458"/>
      <c r="I121" s="458"/>
      <c r="J121" s="458"/>
      <c r="K121" s="458"/>
      <c r="L121" s="139"/>
      <c r="M121" s="461"/>
      <c r="N121" s="458"/>
    </row>
    <row r="122" spans="1:15">
      <c r="A122" s="45"/>
    </row>
    <row r="123" spans="1:15">
      <c r="A123" s="41" t="s">
        <v>70</v>
      </c>
    </row>
    <row r="124" spans="1:15">
      <c r="A124" s="57" t="s">
        <v>165</v>
      </c>
      <c r="B124" s="61"/>
      <c r="C124" s="58" t="str">
        <f>Development!$A$4&amp;"_"&amp;Development!$A$2</f>
        <v>01.01.2025_1.0</v>
      </c>
      <c r="D124" s="1415"/>
      <c r="E124" s="1415"/>
      <c r="F124" s="1415"/>
      <c r="G124" s="1416"/>
      <c r="H124" s="1416"/>
      <c r="I124" s="1416"/>
      <c r="J124" s="44"/>
      <c r="K124" s="44"/>
      <c r="L124" s="44"/>
      <c r="M124" s="44"/>
      <c r="N124" s="60" t="s">
        <v>167</v>
      </c>
      <c r="O124" s="59" t="str">
        <f>Development!$A$4</f>
        <v>01.01.2025</v>
      </c>
    </row>
    <row r="125" spans="1:15"/>
    <row r="126" spans="1:15"/>
    <row r="127" spans="1:15"/>
    <row r="128" spans="1:15"/>
    <row r="129" spans="15:15"/>
    <row r="130" spans="15:15"/>
    <row r="131" spans="15:15"/>
    <row r="132" spans="15:15"/>
    <row r="133" spans="15:15"/>
    <row r="134" spans="15:15"/>
    <row r="135" spans="15:15"/>
    <row r="136" spans="15:15"/>
    <row r="137" spans="15:15"/>
    <row r="138" spans="15:15"/>
    <row r="139" spans="15:15"/>
    <row r="140" spans="15:15"/>
    <row r="141" spans="15:15"/>
    <row r="142" spans="15:15"/>
    <row r="143" spans="15:15"/>
    <row r="144" spans="15:15">
      <c r="O144" s="54"/>
    </row>
    <row r="156"/>
    <row r="157"/>
    <row r="158"/>
    <row r="159"/>
    <row r="160"/>
    <row r="161"/>
    <row r="162"/>
    <row r="163"/>
    <row r="164"/>
    <row r="165"/>
    <row r="166"/>
    <row r="167" ht="14.5" customHeight="1"/>
    <row r="168" ht="14.5" customHeight="1"/>
    <row r="169" ht="14.5" customHeight="1"/>
    <row r="170" ht="14.5" customHeight="1"/>
    <row r="171" ht="14.5" customHeight="1"/>
    <row r="172" ht="14.5" customHeight="1"/>
    <row r="173" ht="14.5" customHeight="1"/>
    <row r="174" ht="14.5" customHeight="1"/>
    <row r="175" ht="14.5" customHeight="1"/>
    <row r="176" ht="14.5" customHeight="1"/>
    <row r="177" ht="14.5" customHeight="1"/>
    <row r="178" ht="14.5" customHeight="1"/>
    <row r="179" ht="14.5" customHeight="1"/>
    <row r="180" ht="14.5" customHeight="1"/>
    <row r="181" ht="14.5" customHeight="1"/>
    <row r="182" ht="14.5" customHeight="1"/>
    <row r="183" ht="14.5" customHeight="1"/>
    <row r="184" ht="14.5" customHeight="1"/>
    <row r="185" ht="14.5" customHeight="1"/>
    <row r="186" ht="14.5" customHeight="1"/>
    <row r="187" ht="14.5" customHeight="1"/>
    <row r="188" ht="14.5" customHeight="1"/>
    <row r="189" ht="14.5" customHeight="1"/>
    <row r="190" ht="14.5" customHeight="1"/>
    <row r="191" ht="14.5" customHeight="1"/>
    <row r="192" ht="14.5" customHeight="1"/>
    <row r="193" ht="14.5" customHeight="1"/>
    <row r="194" ht="14.5" customHeight="1"/>
    <row r="195" ht="14.5" customHeight="1"/>
    <row r="196" ht="14.5" customHeight="1"/>
    <row r="197" ht="14.5" customHeight="1"/>
    <row r="198" ht="14.5" customHeight="1"/>
  </sheetData>
  <sheetProtection algorithmName="SHA-512" hashValue="TJn7cGhYShiITwf6dzmJDuWldv74DP1zzz2tKSCIJR0aAXpr17jhS7pEVOqCf7NIPiipNN/TLk2Uf5FOuUrmOg==" saltValue="QXx7TNG9PuWgs6Qct5Pzvw==" spinCount="100000" sheet="1" objects="1" scenarios="1"/>
  <mergeCells count="25">
    <mergeCell ref="M118:M119"/>
    <mergeCell ref="N118:N119"/>
    <mergeCell ref="E71:F71"/>
    <mergeCell ref="D124:F124"/>
    <mergeCell ref="G124:I124"/>
    <mergeCell ref="E99:F99"/>
    <mergeCell ref="A118:E119"/>
    <mergeCell ref="F118:K119"/>
    <mergeCell ref="A100:B101"/>
    <mergeCell ref="E22:F22"/>
    <mergeCell ref="A29:M29"/>
    <mergeCell ref="C30:L30"/>
    <mergeCell ref="I38:J38"/>
    <mergeCell ref="E45:F45"/>
    <mergeCell ref="E25:F25"/>
    <mergeCell ref="E15:F15"/>
    <mergeCell ref="M15:N15"/>
    <mergeCell ref="A18:D18"/>
    <mergeCell ref="E18:F18"/>
    <mergeCell ref="M18:N18"/>
    <mergeCell ref="A1:J1"/>
    <mergeCell ref="A2:J2"/>
    <mergeCell ref="C5:D5"/>
    <mergeCell ref="H5:I5"/>
    <mergeCell ref="H7:I7"/>
  </mergeCells>
  <dataValidations count="1">
    <dataValidation type="list" allowBlank="1" showInputMessage="1" showErrorMessage="1" sqref="E59" xr:uid="{00000000-0002-0000-1300-000000000000}">
      <formula1>Liq_Line_Temp</formula1>
    </dataValidation>
  </dataValidations>
  <pageMargins left="0.25" right="0.25" top="0.75" bottom="0.75" header="0.3" footer="0.3"/>
  <pageSetup scale="56" fitToHeight="4" orientation="portrait" r:id="rId1"/>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drawing r:id="rId2"/>
  <legacyDrawing r:id="rId3"/>
  <controls>
    <mc:AlternateContent xmlns:mc="http://schemas.openxmlformats.org/markup-compatibility/2006">
      <mc:Choice Requires="x14">
        <control shapeId="71719" r:id="rId4" name="CommandButton1">
          <controlPr defaultSize="0" autoLine="0" r:id="rId5">
            <anchor moveWithCells="1">
              <from>
                <xdr:col>11</xdr:col>
                <xdr:colOff>0</xdr:colOff>
                <xdr:row>120</xdr:row>
                <xdr:rowOff>0</xdr:rowOff>
              </from>
              <to>
                <xdr:col>14</xdr:col>
                <xdr:colOff>476250</xdr:colOff>
                <xdr:row>122</xdr:row>
                <xdr:rowOff>88900</xdr:rowOff>
              </to>
            </anchor>
          </controlPr>
        </control>
      </mc:Choice>
      <mc:Fallback>
        <control shapeId="71719" r:id="rId4" name="CommandButton1"/>
      </mc:Fallback>
    </mc:AlternateContent>
    <mc:AlternateContent xmlns:mc="http://schemas.openxmlformats.org/markup-compatibility/2006">
      <mc:Choice Requires="x14">
        <control shapeId="71707" r:id="rId6" name="OptionButton10">
          <controlPr defaultSize="0" autoLine="0" r:id="rId7">
            <anchor moveWithCells="1">
              <from>
                <xdr:col>1</xdr:col>
                <xdr:colOff>69850</xdr:colOff>
                <xdr:row>44</xdr:row>
                <xdr:rowOff>19050</xdr:rowOff>
              </from>
              <to>
                <xdr:col>2</xdr:col>
                <xdr:colOff>57150</xdr:colOff>
                <xdr:row>45</xdr:row>
                <xdr:rowOff>95250</xdr:rowOff>
              </to>
            </anchor>
          </controlPr>
        </control>
      </mc:Choice>
      <mc:Fallback>
        <control shapeId="71707" r:id="rId6" name="OptionButton10"/>
      </mc:Fallback>
    </mc:AlternateContent>
    <mc:AlternateContent xmlns:mc="http://schemas.openxmlformats.org/markup-compatibility/2006">
      <mc:Choice Requires="x14">
        <control shapeId="71698" r:id="rId8" name="OptionButton7">
          <controlPr defaultSize="0" autoLine="0" r:id="rId9">
            <anchor moveWithCells="1">
              <from>
                <xdr:col>1</xdr:col>
                <xdr:colOff>38100</xdr:colOff>
                <xdr:row>70</xdr:row>
                <xdr:rowOff>0</xdr:rowOff>
              </from>
              <to>
                <xdr:col>2</xdr:col>
                <xdr:colOff>31750</xdr:colOff>
                <xdr:row>71</xdr:row>
                <xdr:rowOff>76200</xdr:rowOff>
              </to>
            </anchor>
          </controlPr>
        </control>
      </mc:Choice>
      <mc:Fallback>
        <control shapeId="71698" r:id="rId8" name="OptionButton7"/>
      </mc:Fallback>
    </mc:AlternateContent>
    <mc:AlternateContent xmlns:mc="http://schemas.openxmlformats.org/markup-compatibility/2006">
      <mc:Choice Requires="x14">
        <control shapeId="71682" r:id="rId10" name="OptionButton2">
          <controlPr defaultSize="0" autoLine="0" r:id="rId11">
            <anchor moveWithCells="1">
              <from>
                <xdr:col>6</xdr:col>
                <xdr:colOff>0</xdr:colOff>
                <xdr:row>19</xdr:row>
                <xdr:rowOff>190500</xdr:rowOff>
              </from>
              <to>
                <xdr:col>10</xdr:col>
                <xdr:colOff>279400</xdr:colOff>
                <xdr:row>20</xdr:row>
                <xdr:rowOff>184150</xdr:rowOff>
              </to>
            </anchor>
          </controlPr>
        </control>
      </mc:Choice>
      <mc:Fallback>
        <control shapeId="71682" r:id="rId10" name="OptionButton2"/>
      </mc:Fallback>
    </mc:AlternateContent>
    <mc:AlternateContent xmlns:mc="http://schemas.openxmlformats.org/markup-compatibility/2006">
      <mc:Choice Requires="x14">
        <control shapeId="71681" r:id="rId12" name="OptionButton1">
          <controlPr defaultSize="0" autoLine="0" autoPict="0" r:id="rId13">
            <anchor moveWithCells="1">
              <from>
                <xdr:col>3</xdr:col>
                <xdr:colOff>0</xdr:colOff>
                <xdr:row>19</xdr:row>
                <xdr:rowOff>222250</xdr:rowOff>
              </from>
              <to>
                <xdr:col>6</xdr:col>
                <xdr:colOff>508000</xdr:colOff>
                <xdr:row>20</xdr:row>
                <xdr:rowOff>95250</xdr:rowOff>
              </to>
            </anchor>
          </controlPr>
        </control>
      </mc:Choice>
      <mc:Fallback>
        <control shapeId="71681" r:id="rId12" name="OptionButton1"/>
      </mc:Fallback>
    </mc:AlternateContent>
    <mc:AlternateContent xmlns:mc="http://schemas.openxmlformats.org/markup-compatibility/2006">
      <mc:Choice Requires="x14">
        <control shapeId="71683" r:id="rId14" name="Group Box 3">
          <controlPr defaultSize="0" autoFill="0" autoPict="0">
            <anchor moveWithCells="1">
              <from>
                <xdr:col>0</xdr:col>
                <xdr:colOff>12700</xdr:colOff>
                <xdr:row>19</xdr:row>
                <xdr:rowOff>57150</xdr:rowOff>
              </from>
              <to>
                <xdr:col>7</xdr:col>
                <xdr:colOff>107950</xdr:colOff>
                <xdr:row>20</xdr:row>
                <xdr:rowOff>336550</xdr:rowOff>
              </to>
            </anchor>
          </controlPr>
        </control>
      </mc:Choice>
    </mc:AlternateContent>
    <mc:AlternateContent xmlns:mc="http://schemas.openxmlformats.org/markup-compatibility/2006">
      <mc:Choice Requires="x14">
        <control shapeId="71684" r:id="rId15" name="Check Box 4">
          <controlPr defaultSize="0" autoFill="0" autoLine="0" autoPict="0">
            <anchor moveWithCells="1">
              <from>
                <xdr:col>7</xdr:col>
                <xdr:colOff>533400</xdr:colOff>
                <xdr:row>21</xdr:row>
                <xdr:rowOff>146050</xdr:rowOff>
              </from>
              <to>
                <xdr:col>9</xdr:col>
                <xdr:colOff>50800</xdr:colOff>
                <xdr:row>22</xdr:row>
                <xdr:rowOff>0</xdr:rowOff>
              </to>
            </anchor>
          </controlPr>
        </control>
      </mc:Choice>
    </mc:AlternateContent>
    <mc:AlternateContent xmlns:mc="http://schemas.openxmlformats.org/markup-compatibility/2006">
      <mc:Choice Requires="x14">
        <control shapeId="71685" r:id="rId16" name="Check Box 5">
          <controlPr defaultSize="0" autoFill="0" autoLine="0" autoPict="0">
            <anchor moveWithCells="1">
              <from>
                <xdr:col>9</xdr:col>
                <xdr:colOff>419100</xdr:colOff>
                <xdr:row>21</xdr:row>
                <xdr:rowOff>146050</xdr:rowOff>
              </from>
              <to>
                <xdr:col>10</xdr:col>
                <xdr:colOff>990600</xdr:colOff>
                <xdr:row>22</xdr:row>
                <xdr:rowOff>0</xdr:rowOff>
              </to>
            </anchor>
          </controlPr>
        </control>
      </mc:Choice>
    </mc:AlternateContent>
    <mc:AlternateContent xmlns:mc="http://schemas.openxmlformats.org/markup-compatibility/2006">
      <mc:Choice Requires="x14">
        <control shapeId="71689" r:id="rId17" name="Group Box 9">
          <controlPr defaultSize="0" autoFill="0" autoPict="0">
            <anchor moveWithCells="1">
              <from>
                <xdr:col>0</xdr:col>
                <xdr:colOff>50800</xdr:colOff>
                <xdr:row>65</xdr:row>
                <xdr:rowOff>0</xdr:rowOff>
              </from>
              <to>
                <xdr:col>4</xdr:col>
                <xdr:colOff>266700</xdr:colOff>
                <xdr:row>69</xdr:row>
                <xdr:rowOff>95250</xdr:rowOff>
              </to>
            </anchor>
          </controlPr>
        </control>
      </mc:Choice>
    </mc:AlternateContent>
    <mc:AlternateContent xmlns:mc="http://schemas.openxmlformats.org/markup-compatibility/2006">
      <mc:Choice Requires="x14">
        <control shapeId="71690" r:id="rId18" name="Option Button 10">
          <controlPr defaultSize="0" autoFill="0" autoLine="0" autoPict="0">
            <anchor moveWithCells="1">
              <from>
                <xdr:col>4</xdr:col>
                <xdr:colOff>419100</xdr:colOff>
                <xdr:row>65</xdr:row>
                <xdr:rowOff>0</xdr:rowOff>
              </from>
              <to>
                <xdr:col>5</xdr:col>
                <xdr:colOff>50800</xdr:colOff>
                <xdr:row>66</xdr:row>
                <xdr:rowOff>50800</xdr:rowOff>
              </to>
            </anchor>
          </controlPr>
        </control>
      </mc:Choice>
    </mc:AlternateContent>
    <mc:AlternateContent xmlns:mc="http://schemas.openxmlformats.org/markup-compatibility/2006">
      <mc:Choice Requires="x14">
        <control shapeId="71691" r:id="rId19" name="Option Button 11">
          <controlPr defaultSize="0" autoFill="0" autoLine="0" autoPict="0">
            <anchor moveWithCells="1">
              <from>
                <xdr:col>5</xdr:col>
                <xdr:colOff>571500</xdr:colOff>
                <xdr:row>65</xdr:row>
                <xdr:rowOff>0</xdr:rowOff>
              </from>
              <to>
                <xdr:col>6</xdr:col>
                <xdr:colOff>0</xdr:colOff>
                <xdr:row>66</xdr:row>
                <xdr:rowOff>0</xdr:rowOff>
              </to>
            </anchor>
          </controlPr>
        </control>
      </mc:Choice>
    </mc:AlternateContent>
    <mc:AlternateContent xmlns:mc="http://schemas.openxmlformats.org/markup-compatibility/2006">
      <mc:Choice Requires="x14">
        <control shapeId="71692" r:id="rId20" name="Group Box 12">
          <controlPr defaultSize="0" autoFill="0" autoPict="0">
            <anchor moveWithCells="1">
              <from>
                <xdr:col>4</xdr:col>
                <xdr:colOff>361950</xdr:colOff>
                <xdr:row>65</xdr:row>
                <xdr:rowOff>0</xdr:rowOff>
              </from>
              <to>
                <xdr:col>6</xdr:col>
                <xdr:colOff>533400</xdr:colOff>
                <xdr:row>67</xdr:row>
                <xdr:rowOff>152400</xdr:rowOff>
              </to>
            </anchor>
          </controlPr>
        </control>
      </mc:Choice>
    </mc:AlternateContent>
    <mc:AlternateContent xmlns:mc="http://schemas.openxmlformats.org/markup-compatibility/2006">
      <mc:Choice Requires="x14">
        <control shapeId="71693" r:id="rId21" name="Group Box 13">
          <controlPr defaultSize="0" autoFill="0" autoPict="0">
            <anchor moveWithCells="1">
              <from>
                <xdr:col>0</xdr:col>
                <xdr:colOff>374650</xdr:colOff>
                <xdr:row>65</xdr:row>
                <xdr:rowOff>0</xdr:rowOff>
              </from>
              <to>
                <xdr:col>4</xdr:col>
                <xdr:colOff>266700</xdr:colOff>
                <xdr:row>68</xdr:row>
                <xdr:rowOff>95250</xdr:rowOff>
              </to>
            </anchor>
          </controlPr>
        </control>
      </mc:Choice>
    </mc:AlternateContent>
    <mc:AlternateContent xmlns:mc="http://schemas.openxmlformats.org/markup-compatibility/2006">
      <mc:Choice Requires="x14">
        <control shapeId="71694" r:id="rId22" name="Option Button 14">
          <controlPr defaultSize="0" autoFill="0" autoLine="0" autoPict="0">
            <anchor moveWithCells="1">
              <from>
                <xdr:col>4</xdr:col>
                <xdr:colOff>419100</xdr:colOff>
                <xdr:row>65</xdr:row>
                <xdr:rowOff>0</xdr:rowOff>
              </from>
              <to>
                <xdr:col>5</xdr:col>
                <xdr:colOff>50800</xdr:colOff>
                <xdr:row>66</xdr:row>
                <xdr:rowOff>50800</xdr:rowOff>
              </to>
            </anchor>
          </controlPr>
        </control>
      </mc:Choice>
    </mc:AlternateContent>
    <mc:AlternateContent xmlns:mc="http://schemas.openxmlformats.org/markup-compatibility/2006">
      <mc:Choice Requires="x14">
        <control shapeId="71695" r:id="rId23" name="Option Button 15">
          <controlPr defaultSize="0" autoFill="0" autoLine="0" autoPict="0">
            <anchor moveWithCells="1">
              <from>
                <xdr:col>5</xdr:col>
                <xdr:colOff>571500</xdr:colOff>
                <xdr:row>65</xdr:row>
                <xdr:rowOff>0</xdr:rowOff>
              </from>
              <to>
                <xdr:col>6</xdr:col>
                <xdr:colOff>0</xdr:colOff>
                <xdr:row>66</xdr:row>
                <xdr:rowOff>0</xdr:rowOff>
              </to>
            </anchor>
          </controlPr>
        </control>
      </mc:Choice>
    </mc:AlternateContent>
    <mc:AlternateContent xmlns:mc="http://schemas.openxmlformats.org/markup-compatibility/2006">
      <mc:Choice Requires="x14">
        <control shapeId="71696" r:id="rId24" name="Group Box 16">
          <controlPr defaultSize="0" autoFill="0" autoPict="0">
            <anchor moveWithCells="1">
              <from>
                <xdr:col>4</xdr:col>
                <xdr:colOff>266700</xdr:colOff>
                <xdr:row>65</xdr:row>
                <xdr:rowOff>0</xdr:rowOff>
              </from>
              <to>
                <xdr:col>6</xdr:col>
                <xdr:colOff>323850</xdr:colOff>
                <xdr:row>67</xdr:row>
                <xdr:rowOff>165100</xdr:rowOff>
              </to>
            </anchor>
          </controlPr>
        </control>
      </mc:Choice>
    </mc:AlternateContent>
    <mc:AlternateContent xmlns:mc="http://schemas.openxmlformats.org/markup-compatibility/2006">
      <mc:Choice Requires="x14">
        <control shapeId="71700" r:id="rId25" name="Group Box 20">
          <controlPr defaultSize="0" autoFill="0" autoPict="0">
            <anchor moveWithCells="1">
              <from>
                <xdr:col>0</xdr:col>
                <xdr:colOff>317500</xdr:colOff>
                <xdr:row>68</xdr:row>
                <xdr:rowOff>209550</xdr:rowOff>
              </from>
              <to>
                <xdr:col>4</xdr:col>
                <xdr:colOff>266700</xdr:colOff>
                <xdr:row>72</xdr:row>
                <xdr:rowOff>12700</xdr:rowOff>
              </to>
            </anchor>
          </controlPr>
        </control>
      </mc:Choice>
    </mc:AlternateContent>
    <mc:AlternateContent xmlns:mc="http://schemas.openxmlformats.org/markup-compatibility/2006">
      <mc:Choice Requires="x14">
        <control shapeId="71701" r:id="rId26" name="Option Button 21">
          <controlPr defaultSize="0" autoFill="0" autoLine="0" autoPict="0">
            <anchor moveWithCells="1">
              <from>
                <xdr:col>2</xdr:col>
                <xdr:colOff>889000</xdr:colOff>
                <xdr:row>37</xdr:row>
                <xdr:rowOff>127000</xdr:rowOff>
              </from>
              <to>
                <xdr:col>3</xdr:col>
                <xdr:colOff>889000</xdr:colOff>
                <xdr:row>38</xdr:row>
                <xdr:rowOff>127000</xdr:rowOff>
              </to>
            </anchor>
          </controlPr>
        </control>
      </mc:Choice>
    </mc:AlternateContent>
    <mc:AlternateContent xmlns:mc="http://schemas.openxmlformats.org/markup-compatibility/2006">
      <mc:Choice Requires="x14">
        <control shapeId="71702" r:id="rId27" name="Option Button 22">
          <controlPr defaultSize="0" autoFill="0" autoLine="0" autoPict="0">
            <anchor moveWithCells="1">
              <from>
                <xdr:col>2</xdr:col>
                <xdr:colOff>1060450</xdr:colOff>
                <xdr:row>37</xdr:row>
                <xdr:rowOff>69850</xdr:rowOff>
              </from>
              <to>
                <xdr:col>4</xdr:col>
                <xdr:colOff>222250</xdr:colOff>
                <xdr:row>38</xdr:row>
                <xdr:rowOff>69850</xdr:rowOff>
              </to>
            </anchor>
          </controlPr>
        </control>
      </mc:Choice>
    </mc:AlternateContent>
    <mc:AlternateContent xmlns:mc="http://schemas.openxmlformats.org/markup-compatibility/2006">
      <mc:Choice Requires="x14">
        <control shapeId="71703" r:id="rId28" name="Option Button 23">
          <controlPr defaultSize="0" autoFill="0" autoLine="0" autoPict="0">
            <anchor moveWithCells="1">
              <from>
                <xdr:col>4</xdr:col>
                <xdr:colOff>209550</xdr:colOff>
                <xdr:row>37</xdr:row>
                <xdr:rowOff>69850</xdr:rowOff>
              </from>
              <to>
                <xdr:col>5</xdr:col>
                <xdr:colOff>622300</xdr:colOff>
                <xdr:row>38</xdr:row>
                <xdr:rowOff>69850</xdr:rowOff>
              </to>
            </anchor>
          </controlPr>
        </control>
      </mc:Choice>
    </mc:AlternateContent>
    <mc:AlternateContent xmlns:mc="http://schemas.openxmlformats.org/markup-compatibility/2006">
      <mc:Choice Requires="x14">
        <control shapeId="71705" r:id="rId29" name="Group Box 25">
          <controlPr defaultSize="0" autoFill="0" autoPict="0">
            <anchor moveWithCells="1">
              <from>
                <xdr:col>2</xdr:col>
                <xdr:colOff>533400</xdr:colOff>
                <xdr:row>36</xdr:row>
                <xdr:rowOff>266700</xdr:rowOff>
              </from>
              <to>
                <xdr:col>14</xdr:col>
                <xdr:colOff>889000</xdr:colOff>
                <xdr:row>39</xdr:row>
                <xdr:rowOff>50800</xdr:rowOff>
              </to>
            </anchor>
          </controlPr>
        </control>
      </mc:Choice>
    </mc:AlternateContent>
    <mc:AlternateContent xmlns:mc="http://schemas.openxmlformats.org/markup-compatibility/2006">
      <mc:Choice Requires="x14">
        <control shapeId="71709" r:id="rId30" name="Group Box 29">
          <controlPr defaultSize="0" autoFill="0" autoPict="0">
            <anchor moveWithCells="1">
              <from>
                <xdr:col>0</xdr:col>
                <xdr:colOff>571500</xdr:colOff>
                <xdr:row>42</xdr:row>
                <xdr:rowOff>209550</xdr:rowOff>
              </from>
              <to>
                <xdr:col>4</xdr:col>
                <xdr:colOff>266700</xdr:colOff>
                <xdr:row>46</xdr:row>
                <xdr:rowOff>12700</xdr:rowOff>
              </to>
            </anchor>
          </controlPr>
        </control>
      </mc:Choice>
    </mc:AlternateContent>
    <mc:AlternateContent xmlns:mc="http://schemas.openxmlformats.org/markup-compatibility/2006">
      <mc:Choice Requires="x14">
        <control shapeId="71780" r:id="rId31" name="Check Box 100">
          <controlPr defaultSize="0" autoFill="0" autoLine="0" autoPict="0">
            <anchor moveWithCells="1">
              <from>
                <xdr:col>1</xdr:col>
                <xdr:colOff>927100</xdr:colOff>
                <xdr:row>9</xdr:row>
                <xdr:rowOff>114300</xdr:rowOff>
              </from>
              <to>
                <xdr:col>3</xdr:col>
                <xdr:colOff>0</xdr:colOff>
                <xdr:row>10</xdr:row>
                <xdr:rowOff>0</xdr:rowOff>
              </to>
            </anchor>
          </controlPr>
        </control>
      </mc:Choice>
    </mc:AlternateContent>
    <mc:AlternateContent xmlns:mc="http://schemas.openxmlformats.org/markup-compatibility/2006">
      <mc:Choice Requires="x14">
        <control shapeId="71781" r:id="rId32" name="Check Box 101">
          <controlPr defaultSize="0" autoFill="0" autoLine="0" autoPict="0">
            <anchor moveWithCells="1">
              <from>
                <xdr:col>0</xdr:col>
                <xdr:colOff>1193800</xdr:colOff>
                <xdr:row>9</xdr:row>
                <xdr:rowOff>95250</xdr:rowOff>
              </from>
              <to>
                <xdr:col>2</xdr:col>
                <xdr:colOff>0</xdr:colOff>
                <xdr:row>10</xdr:row>
                <xdr:rowOff>0</xdr:rowOff>
              </to>
            </anchor>
          </controlPr>
        </control>
      </mc:Choice>
    </mc:AlternateContent>
    <mc:AlternateContent xmlns:mc="http://schemas.openxmlformats.org/markup-compatibility/2006">
      <mc:Choice Requires="x14">
        <control shapeId="71782" r:id="rId33" name="Check Box 102">
          <controlPr defaultSize="0" autoFill="0" autoLine="0" autoPict="0">
            <anchor moveWithCells="1">
              <from>
                <xdr:col>3</xdr:col>
                <xdr:colOff>965200</xdr:colOff>
                <xdr:row>9</xdr:row>
                <xdr:rowOff>95250</xdr:rowOff>
              </from>
              <to>
                <xdr:col>5</xdr:col>
                <xdr:colOff>12700</xdr:colOff>
                <xdr:row>9</xdr:row>
                <xdr:rowOff>184150</xdr:rowOff>
              </to>
            </anchor>
          </controlPr>
        </control>
      </mc:Choice>
    </mc:AlternateContent>
    <mc:AlternateContent xmlns:mc="http://schemas.openxmlformats.org/markup-compatibility/2006">
      <mc:Choice Requires="x14">
        <control shapeId="71783" r:id="rId34" name="Check Box 103">
          <controlPr defaultSize="0" autoFill="0" autoLine="0" autoPict="0">
            <anchor moveWithCells="1">
              <from>
                <xdr:col>3</xdr:col>
                <xdr:colOff>222250</xdr:colOff>
                <xdr:row>9</xdr:row>
                <xdr:rowOff>114300</xdr:rowOff>
              </from>
              <to>
                <xdr:col>3</xdr:col>
                <xdr:colOff>812800</xdr:colOff>
                <xdr:row>9</xdr:row>
                <xdr:rowOff>203200</xdr:rowOff>
              </to>
            </anchor>
          </controlPr>
        </control>
      </mc:Choice>
    </mc:AlternateContent>
    <mc:AlternateContent xmlns:mc="http://schemas.openxmlformats.org/markup-compatibility/2006">
      <mc:Choice Requires="x14">
        <control shapeId="71784" r:id="rId35" name="Group Box 104">
          <controlPr defaultSize="0" autoFill="0" autoPict="0">
            <anchor moveWithCells="1">
              <from>
                <xdr:col>0</xdr:col>
                <xdr:colOff>50800</xdr:colOff>
                <xdr:row>96</xdr:row>
                <xdr:rowOff>0</xdr:rowOff>
              </from>
              <to>
                <xdr:col>4</xdr:col>
                <xdr:colOff>266700</xdr:colOff>
                <xdr:row>100</xdr:row>
                <xdr:rowOff>146050</xdr:rowOff>
              </to>
            </anchor>
          </controlPr>
        </control>
      </mc:Choice>
    </mc:AlternateContent>
    <mc:AlternateContent xmlns:mc="http://schemas.openxmlformats.org/markup-compatibility/2006">
      <mc:Choice Requires="x14">
        <control shapeId="71785" r:id="rId36" name="Option Button 105">
          <controlPr defaultSize="0" autoFill="0" autoLine="0" autoPict="0">
            <anchor moveWithCells="1">
              <from>
                <xdr:col>4</xdr:col>
                <xdr:colOff>419100</xdr:colOff>
                <xdr:row>103</xdr:row>
                <xdr:rowOff>0</xdr:rowOff>
              </from>
              <to>
                <xdr:col>5</xdr:col>
                <xdr:colOff>50800</xdr:colOff>
                <xdr:row>104</xdr:row>
                <xdr:rowOff>50800</xdr:rowOff>
              </to>
            </anchor>
          </controlPr>
        </control>
      </mc:Choice>
    </mc:AlternateContent>
    <mc:AlternateContent xmlns:mc="http://schemas.openxmlformats.org/markup-compatibility/2006">
      <mc:Choice Requires="x14">
        <control shapeId="71786" r:id="rId37" name="Option Button 106">
          <controlPr defaultSize="0" autoFill="0" autoLine="0" autoPict="0">
            <anchor moveWithCells="1">
              <from>
                <xdr:col>5</xdr:col>
                <xdr:colOff>571500</xdr:colOff>
                <xdr:row>103</xdr:row>
                <xdr:rowOff>12700</xdr:rowOff>
              </from>
              <to>
                <xdr:col>6</xdr:col>
                <xdr:colOff>0</xdr:colOff>
                <xdr:row>104</xdr:row>
                <xdr:rowOff>12700</xdr:rowOff>
              </to>
            </anchor>
          </controlPr>
        </control>
      </mc:Choice>
    </mc:AlternateContent>
    <mc:AlternateContent xmlns:mc="http://schemas.openxmlformats.org/markup-compatibility/2006">
      <mc:Choice Requires="x14">
        <control shapeId="71787" r:id="rId38" name="Group Box 107">
          <controlPr defaultSize="0" autoFill="0" autoPict="0">
            <anchor moveWithCells="1">
              <from>
                <xdr:col>4</xdr:col>
                <xdr:colOff>361950</xdr:colOff>
                <xdr:row>102</xdr:row>
                <xdr:rowOff>12700</xdr:rowOff>
              </from>
              <to>
                <xdr:col>6</xdr:col>
                <xdr:colOff>533400</xdr:colOff>
                <xdr:row>104</xdr:row>
                <xdr:rowOff>165100</xdr:rowOff>
              </to>
            </anchor>
          </controlPr>
        </control>
      </mc:Choice>
    </mc:AlternateContent>
    <mc:AlternateContent xmlns:mc="http://schemas.openxmlformats.org/markup-compatibility/2006">
      <mc:Choice Requires="x14">
        <control shapeId="71788" r:id="rId39" name="Group Box 108">
          <controlPr defaultSize="0" autoFill="0" autoPict="0">
            <anchor moveWithCells="1">
              <from>
                <xdr:col>0</xdr:col>
                <xdr:colOff>374650</xdr:colOff>
                <xdr:row>96</xdr:row>
                <xdr:rowOff>76200</xdr:rowOff>
              </from>
              <to>
                <xdr:col>4</xdr:col>
                <xdr:colOff>266700</xdr:colOff>
                <xdr:row>100</xdr:row>
                <xdr:rowOff>38100</xdr:rowOff>
              </to>
            </anchor>
          </controlPr>
        </control>
      </mc:Choice>
    </mc:AlternateContent>
    <mc:AlternateContent xmlns:mc="http://schemas.openxmlformats.org/markup-compatibility/2006">
      <mc:Choice Requires="x14">
        <control shapeId="71789" r:id="rId40" name="Option Button 109">
          <controlPr defaultSize="0" autoFill="0" autoLine="0" autoPict="0">
            <anchor moveWithCells="1">
              <from>
                <xdr:col>4</xdr:col>
                <xdr:colOff>419100</xdr:colOff>
                <xdr:row>106</xdr:row>
                <xdr:rowOff>0</xdr:rowOff>
              </from>
              <to>
                <xdr:col>5</xdr:col>
                <xdr:colOff>50800</xdr:colOff>
                <xdr:row>107</xdr:row>
                <xdr:rowOff>50800</xdr:rowOff>
              </to>
            </anchor>
          </controlPr>
        </control>
      </mc:Choice>
    </mc:AlternateContent>
    <mc:AlternateContent xmlns:mc="http://schemas.openxmlformats.org/markup-compatibility/2006">
      <mc:Choice Requires="x14">
        <control shapeId="71790" r:id="rId41" name="Option Button 110">
          <controlPr defaultSize="0" autoFill="0" autoLine="0" autoPict="0">
            <anchor moveWithCells="1">
              <from>
                <xdr:col>5</xdr:col>
                <xdr:colOff>571500</xdr:colOff>
                <xdr:row>106</xdr:row>
                <xdr:rowOff>12700</xdr:rowOff>
              </from>
              <to>
                <xdr:col>6</xdr:col>
                <xdr:colOff>0</xdr:colOff>
                <xdr:row>107</xdr:row>
                <xdr:rowOff>12700</xdr:rowOff>
              </to>
            </anchor>
          </controlPr>
        </control>
      </mc:Choice>
    </mc:AlternateContent>
    <mc:AlternateContent xmlns:mc="http://schemas.openxmlformats.org/markup-compatibility/2006">
      <mc:Choice Requires="x14">
        <control shapeId="71791" r:id="rId42" name="Group Box 111">
          <controlPr defaultSize="0" autoFill="0" autoPict="0">
            <anchor moveWithCells="1">
              <from>
                <xdr:col>4</xdr:col>
                <xdr:colOff>266700</xdr:colOff>
                <xdr:row>105</xdr:row>
                <xdr:rowOff>69850</xdr:rowOff>
              </from>
              <to>
                <xdr:col>6</xdr:col>
                <xdr:colOff>323850</xdr:colOff>
                <xdr:row>108</xdr:row>
                <xdr:rowOff>50800</xdr:rowOff>
              </to>
            </anchor>
          </controlPr>
        </control>
      </mc:Choice>
    </mc:AlternateContent>
  </control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dimension ref="A1:P194"/>
  <sheetViews>
    <sheetView showGridLines="0" zoomScale="90" zoomScaleNormal="90" workbookViewId="0">
      <selection sqref="A1:J1"/>
    </sheetView>
  </sheetViews>
  <sheetFormatPr defaultColWidth="0" defaultRowHeight="14.5" customHeight="1" zeroHeight="1"/>
  <cols>
    <col min="1" max="1" width="14.54296875" style="38" customWidth="1"/>
    <col min="2" max="2" width="9.54296875" style="38" customWidth="1"/>
    <col min="3" max="3" width="11.54296875" style="38" customWidth="1"/>
    <col min="4" max="4" width="15.453125" style="38" customWidth="1"/>
    <col min="5" max="5" width="10.54296875" style="38" customWidth="1"/>
    <col min="6" max="6" width="12" style="38" customWidth="1"/>
    <col min="7" max="7" width="11.54296875" style="38" customWidth="1"/>
    <col min="8" max="10" width="10.54296875" style="38" customWidth="1"/>
    <col min="11" max="11" width="19.54296875" style="38" customWidth="1"/>
    <col min="12" max="13" width="10.54296875" style="38" customWidth="1"/>
    <col min="14" max="14" width="9.1796875" style="38" customWidth="1"/>
    <col min="15" max="15" width="13" style="38" customWidth="1"/>
    <col min="16" max="16" width="1.54296875" style="38" hidden="1" customWidth="1"/>
    <col min="17" max="16384" width="8.7265625" style="38" hidden="1"/>
  </cols>
  <sheetData>
    <row r="1" spans="1:15" ht="55" customHeight="1">
      <c r="A1" s="1410" t="str">
        <f>Development!$A$3&amp;" Residential Efficiency Program"</f>
        <v>2025 Residential Efficiency Program</v>
      </c>
      <c r="B1" s="1410"/>
      <c r="C1" s="1410"/>
      <c r="D1" s="1410"/>
      <c r="E1" s="1410"/>
      <c r="F1" s="1410"/>
      <c r="G1" s="1410"/>
      <c r="H1" s="1410"/>
      <c r="I1" s="1410"/>
      <c r="J1" s="1410"/>
      <c r="K1" s="6"/>
      <c r="L1" s="6"/>
      <c r="M1" s="6"/>
      <c r="N1" s="6"/>
      <c r="O1" s="6"/>
    </row>
    <row r="2" spans="1:15" ht="55" customHeight="1">
      <c r="A2" s="1418" t="s">
        <v>100</v>
      </c>
      <c r="B2" s="1418"/>
      <c r="C2" s="1418"/>
      <c r="D2" s="1418"/>
      <c r="E2" s="1418"/>
      <c r="F2" s="1418"/>
      <c r="G2" s="1418"/>
      <c r="H2" s="1418"/>
      <c r="I2" s="1418"/>
      <c r="J2" s="1418"/>
      <c r="K2" s="7"/>
      <c r="L2" s="7"/>
      <c r="M2" s="7"/>
      <c r="N2" s="7"/>
      <c r="O2" s="7"/>
    </row>
    <row r="3" spans="1:15" ht="23.5" thickBot="1">
      <c r="A3" s="23" t="s">
        <v>102</v>
      </c>
      <c r="B3" s="23"/>
      <c r="C3" s="23"/>
      <c r="D3" s="23"/>
      <c r="E3" s="23"/>
      <c r="F3" s="23"/>
      <c r="G3" s="23"/>
      <c r="H3" s="23"/>
      <c r="I3" s="23"/>
      <c r="J3" s="23"/>
      <c r="K3" s="23"/>
      <c r="L3" s="23"/>
      <c r="M3" s="23"/>
      <c r="N3" s="23"/>
      <c r="O3" s="23"/>
    </row>
    <row r="4" spans="1:15" ht="18.75" customHeight="1">
      <c r="A4" s="24"/>
      <c r="B4" s="24"/>
      <c r="C4" s="24"/>
      <c r="D4" s="24"/>
      <c r="E4" s="24"/>
      <c r="F4" s="24"/>
      <c r="G4" s="24"/>
      <c r="H4" s="24"/>
      <c r="I4" s="24"/>
      <c r="J4" s="24"/>
      <c r="K4" s="24"/>
      <c r="L4" s="24"/>
      <c r="M4" s="24"/>
      <c r="N4" s="24"/>
      <c r="O4" s="24"/>
    </row>
    <row r="5" spans="1:15" ht="18" customHeight="1">
      <c r="A5" s="19" t="s">
        <v>104</v>
      </c>
      <c r="B5" s="91" t="e">
        <f>#REF!</f>
        <v>#REF!</v>
      </c>
      <c r="C5" s="1433"/>
      <c r="D5" s="1433"/>
      <c r="E5" s="19"/>
      <c r="F5" s="19"/>
      <c r="G5" s="19" t="s">
        <v>57</v>
      </c>
      <c r="H5" s="1426" t="e">
        <f>IF(#REF!="","",#REF!)</f>
        <v>#REF!</v>
      </c>
      <c r="I5" s="1426"/>
      <c r="J5" s="15"/>
      <c r="K5" s="7"/>
      <c r="L5" s="7"/>
      <c r="M5" s="7"/>
      <c r="N5" s="7"/>
      <c r="O5" s="7"/>
    </row>
    <row r="6" spans="1:15" ht="18" customHeight="1">
      <c r="A6" s="19"/>
      <c r="B6" s="19"/>
      <c r="C6" s="19"/>
      <c r="D6" s="19"/>
      <c r="E6" s="19"/>
      <c r="F6" s="19"/>
      <c r="G6" s="19"/>
      <c r="H6" s="19"/>
      <c r="I6" s="15"/>
      <c r="J6" s="15"/>
      <c r="K6" s="7"/>
      <c r="L6" s="7"/>
      <c r="M6" s="7"/>
      <c r="N6" s="7"/>
      <c r="O6" s="7"/>
    </row>
    <row r="7" spans="1:15" ht="18" customHeight="1">
      <c r="B7" s="19"/>
      <c r="D7" s="19"/>
      <c r="E7" s="19"/>
      <c r="F7" s="19"/>
      <c r="G7" s="19" t="s">
        <v>103</v>
      </c>
      <c r="H7" s="1426" t="e">
        <f>IF(#REF!="","",#REF!)</f>
        <v>#REF!</v>
      </c>
      <c r="I7" s="1426"/>
      <c r="J7" s="15"/>
      <c r="K7" s="7"/>
      <c r="L7" s="7"/>
      <c r="M7" s="7"/>
      <c r="N7" s="7"/>
      <c r="O7" s="7"/>
    </row>
    <row r="8" spans="1:15" ht="23">
      <c r="A8" s="21" t="s">
        <v>101</v>
      </c>
      <c r="B8" s="20"/>
      <c r="C8" s="20"/>
      <c r="D8" s="20"/>
      <c r="E8" s="20"/>
      <c r="F8" s="20"/>
      <c r="G8" s="20"/>
      <c r="H8" s="20"/>
      <c r="I8" s="20"/>
      <c r="J8" s="20"/>
      <c r="K8" s="20"/>
      <c r="L8" s="20"/>
      <c r="M8" s="13"/>
      <c r="N8" s="20"/>
      <c r="O8" s="20"/>
    </row>
    <row r="9" spans="1:15" ht="30.5">
      <c r="A9" s="15"/>
      <c r="B9" s="65" t="s">
        <v>26</v>
      </c>
      <c r="C9" s="66"/>
      <c r="D9" s="65" t="s">
        <v>27</v>
      </c>
      <c r="E9" s="67"/>
      <c r="F9" s="15"/>
      <c r="G9" s="15"/>
      <c r="H9" s="15"/>
      <c r="I9" s="15"/>
      <c r="J9" s="15"/>
      <c r="K9" s="7"/>
      <c r="L9" s="7"/>
      <c r="M9" s="7"/>
      <c r="N9" s="7"/>
      <c r="O9" s="7"/>
    </row>
    <row r="10" spans="1:15" ht="24" customHeight="1">
      <c r="A10" s="7"/>
      <c r="B10" s="22"/>
      <c r="C10" s="22"/>
      <c r="D10" s="22"/>
      <c r="E10" s="22"/>
      <c r="G10" s="17"/>
      <c r="H10" s="17"/>
      <c r="J10" s="7"/>
      <c r="K10" s="7"/>
      <c r="L10" s="7"/>
      <c r="M10" s="7"/>
      <c r="N10" s="7"/>
      <c r="O10" s="7"/>
    </row>
    <row r="11" spans="1:15" ht="23.5" thickBot="1">
      <c r="A11" s="18" t="s">
        <v>48</v>
      </c>
      <c r="B11" s="18"/>
      <c r="C11" s="18"/>
      <c r="D11" s="18"/>
      <c r="E11" s="18"/>
      <c r="F11" s="18"/>
      <c r="G11" s="18"/>
      <c r="H11" s="18"/>
      <c r="I11" s="18"/>
      <c r="J11" s="18"/>
      <c r="K11" s="18"/>
      <c r="L11" s="18"/>
      <c r="M11" s="18"/>
      <c r="N11" s="18"/>
      <c r="O11" s="18"/>
    </row>
    <row r="12" spans="1:15" ht="6.75" customHeight="1">
      <c r="A12" s="4"/>
      <c r="B12" s="5"/>
      <c r="C12" s="5"/>
      <c r="D12" s="5"/>
      <c r="E12" s="5"/>
      <c r="F12" s="5"/>
      <c r="G12" s="5"/>
      <c r="H12" s="5"/>
      <c r="I12" s="5"/>
      <c r="J12" s="5"/>
      <c r="K12" s="5"/>
      <c r="L12" s="5"/>
      <c r="M12" s="5"/>
      <c r="N12" s="5"/>
      <c r="O12" s="5"/>
    </row>
    <row r="13" spans="1:15" ht="27.75" customHeight="1">
      <c r="A13" s="146" t="s">
        <v>299</v>
      </c>
      <c r="B13" s="5"/>
      <c r="C13" s="5"/>
      <c r="D13" s="5"/>
      <c r="E13" s="5"/>
      <c r="F13" s="5"/>
      <c r="G13" s="5"/>
      <c r="H13" s="5"/>
      <c r="I13" s="5"/>
      <c r="J13" s="5"/>
      <c r="K13" s="5"/>
      <c r="L13" s="5"/>
      <c r="M13" s="5"/>
      <c r="N13" s="5"/>
      <c r="O13" s="5"/>
    </row>
    <row r="14" spans="1:15" ht="27.75" customHeight="1">
      <c r="A14" s="4"/>
      <c r="B14" s="5"/>
      <c r="C14" s="5"/>
      <c r="D14" s="5"/>
      <c r="E14" s="5"/>
      <c r="F14" s="5"/>
      <c r="G14" s="5"/>
      <c r="H14" s="5"/>
      <c r="I14" s="5"/>
      <c r="J14" s="5"/>
      <c r="K14" s="5"/>
      <c r="L14" s="5"/>
      <c r="M14" s="5"/>
      <c r="N14" s="5"/>
      <c r="O14" s="5"/>
    </row>
    <row r="15" spans="1:15" ht="33.65" customHeight="1">
      <c r="A15" s="38" t="s">
        <v>334</v>
      </c>
      <c r="E15" s="1211"/>
      <c r="F15" s="1211"/>
      <c r="G15" s="38" t="str">
        <f>IF(OR(E15=""),"",'Air Flow References'!AE4)</f>
        <v/>
      </c>
      <c r="L15" s="39" t="s">
        <v>335</v>
      </c>
      <c r="M15" s="1403"/>
      <c r="N15" s="1403"/>
      <c r="O15" s="38" t="str">
        <f>IF(OR(M15=""),"",'Air Flow References'!AE6)</f>
        <v/>
      </c>
    </row>
    <row r="16" spans="1:15" ht="33.65" customHeight="1">
      <c r="E16" s="143"/>
      <c r="F16" s="143"/>
      <c r="L16" s="39"/>
      <c r="M16" s="140"/>
      <c r="N16" s="140"/>
    </row>
    <row r="17" spans="1:15" ht="33.65" customHeight="1">
      <c r="A17" s="125" t="s">
        <v>351</v>
      </c>
    </row>
    <row r="18" spans="1:15" ht="33.65" customHeight="1">
      <c r="A18" s="1354" t="s">
        <v>336</v>
      </c>
      <c r="B18" s="1354"/>
      <c r="C18" s="1354"/>
      <c r="D18" s="1354"/>
      <c r="E18" s="1404"/>
      <c r="F18" s="1404"/>
      <c r="G18" s="38" t="str">
        <f>IF(OR(E18=""),"",'Air Flow References'!AE5)</f>
        <v/>
      </c>
      <c r="H18" s="41"/>
      <c r="I18" s="41" t="s">
        <v>296</v>
      </c>
      <c r="L18" s="39" t="s">
        <v>337</v>
      </c>
      <c r="M18" s="1211"/>
      <c r="N18" s="1211"/>
      <c r="O18" s="38" t="str">
        <f>IF(OR(M18=""),"",'Air Flow References'!AE7)</f>
        <v/>
      </c>
    </row>
    <row r="19" spans="1:15" ht="33.65" customHeight="1"/>
    <row r="20" spans="1:15" ht="33.65" customHeight="1">
      <c r="A20" s="38" t="s">
        <v>340</v>
      </c>
    </row>
    <row r="21" spans="1:15" ht="33.65" customHeight="1"/>
    <row r="22" spans="1:15" ht="33.65" customHeight="1">
      <c r="A22" s="38" t="s">
        <v>341</v>
      </c>
      <c r="E22" s="1403"/>
      <c r="F22" s="1403"/>
      <c r="G22" s="38" t="str">
        <f>IF(OR(E22=""),"",'Air Flow References'!AE9)</f>
        <v/>
      </c>
      <c r="H22" s="68"/>
      <c r="I22" s="68"/>
      <c r="J22" s="68"/>
      <c r="K22" s="68"/>
    </row>
    <row r="23" spans="1:15" ht="33.65" customHeight="1">
      <c r="A23" s="137" t="s">
        <v>353</v>
      </c>
      <c r="E23" s="140"/>
      <c r="F23" s="140"/>
    </row>
    <row r="24" spans="1:15" ht="33.65" customHeight="1">
      <c r="E24" s="140"/>
      <c r="F24" s="140"/>
    </row>
    <row r="25" spans="1:15" ht="33.65" customHeight="1">
      <c r="A25" s="38" t="s">
        <v>342</v>
      </c>
      <c r="E25" s="1403"/>
      <c r="F25" s="1403"/>
      <c r="G25" s="38" t="str">
        <f>IF(OR(E25=""),"",'Air Flow References'!AE8)</f>
        <v/>
      </c>
    </row>
    <row r="26" spans="1:15" ht="33.65" customHeight="1">
      <c r="A26" s="137" t="s">
        <v>354</v>
      </c>
      <c r="E26" s="140"/>
      <c r="F26" s="140"/>
    </row>
    <row r="27" spans="1:15" ht="33.65" customHeight="1">
      <c r="E27" s="140"/>
      <c r="F27" s="140"/>
    </row>
    <row r="28" spans="1:15" ht="33.65" customHeight="1"/>
    <row r="29" spans="1:15" ht="33.65" customHeight="1">
      <c r="A29" s="1354" t="s">
        <v>44</v>
      </c>
      <c r="B29" s="1354"/>
      <c r="C29" s="1354"/>
      <c r="D29" s="1354"/>
      <c r="E29" s="1354"/>
      <c r="F29" s="1354"/>
      <c r="G29" s="1354"/>
      <c r="H29" s="1354"/>
      <c r="I29" s="1354"/>
      <c r="J29" s="1354"/>
      <c r="K29" s="1354"/>
      <c r="L29" s="1354"/>
      <c r="M29" s="1354"/>
    </row>
    <row r="30" spans="1:15" ht="33.65" customHeight="1">
      <c r="A30" s="38" t="s">
        <v>45</v>
      </c>
      <c r="C30" s="1409"/>
      <c r="D30" s="1409"/>
      <c r="E30" s="1409"/>
      <c r="F30" s="1409"/>
      <c r="G30" s="1409"/>
      <c r="H30" s="1409"/>
      <c r="I30" s="1409"/>
      <c r="J30" s="1409"/>
      <c r="K30" s="1409"/>
      <c r="L30" s="1409"/>
    </row>
    <row r="31" spans="1:15"/>
    <row r="32" spans="1:15">
      <c r="A32" s="41" t="s">
        <v>47</v>
      </c>
    </row>
    <row r="33" spans="1:15">
      <c r="A33" s="38" t="s">
        <v>1514</v>
      </c>
    </row>
    <row r="34" spans="1:15">
      <c r="A34" s="38" t="s">
        <v>46</v>
      </c>
    </row>
    <row r="35" spans="1:15"/>
    <row r="36" spans="1:15" ht="23.5" thickBot="1">
      <c r="A36" s="18" t="s">
        <v>178</v>
      </c>
      <c r="B36" s="18"/>
      <c r="C36" s="18"/>
      <c r="D36" s="18"/>
      <c r="E36" s="18"/>
      <c r="F36" s="18"/>
      <c r="G36" s="18"/>
      <c r="H36" s="18"/>
      <c r="I36" s="18"/>
      <c r="J36" s="18"/>
      <c r="K36" s="18"/>
      <c r="L36" s="18"/>
      <c r="M36" s="18"/>
      <c r="N36" s="18"/>
      <c r="O36" s="18"/>
    </row>
    <row r="37" spans="1:15" ht="23">
      <c r="A37" s="4"/>
      <c r="B37" s="4"/>
      <c r="C37" s="4"/>
      <c r="D37" s="4"/>
      <c r="E37" s="4"/>
      <c r="F37" s="4"/>
      <c r="G37" s="4"/>
      <c r="H37" s="4"/>
      <c r="I37" s="4"/>
      <c r="J37" s="4"/>
      <c r="K37" s="4"/>
      <c r="L37" s="4"/>
      <c r="M37" s="4"/>
      <c r="N37" s="4"/>
      <c r="O37" s="4"/>
    </row>
    <row r="38" spans="1:15" ht="23">
      <c r="A38" s="3" t="s">
        <v>73</v>
      </c>
      <c r="B38" s="4"/>
      <c r="C38" s="4"/>
      <c r="D38" s="4"/>
      <c r="E38" s="4"/>
      <c r="F38" s="4"/>
      <c r="G38" s="4"/>
      <c r="H38" s="4"/>
      <c r="I38" s="1424"/>
      <c r="J38" s="1424"/>
      <c r="K38" s="4"/>
      <c r="L38" s="4"/>
      <c r="M38" s="4"/>
    </row>
    <row r="39" spans="1:15" ht="23">
      <c r="A39" s="4"/>
      <c r="B39" s="4"/>
      <c r="C39" s="4"/>
      <c r="D39" s="4"/>
      <c r="E39" s="4"/>
      <c r="F39" s="4"/>
      <c r="G39" s="4"/>
      <c r="H39" s="4"/>
      <c r="I39" s="4"/>
      <c r="J39" s="4"/>
      <c r="K39" s="4"/>
      <c r="L39" s="4"/>
      <c r="M39" s="4"/>
      <c r="N39" s="4"/>
      <c r="O39" s="4"/>
    </row>
    <row r="40" spans="1:15">
      <c r="A40" s="42" t="s">
        <v>164</v>
      </c>
      <c r="B40" s="42"/>
      <c r="C40" s="42"/>
      <c r="D40" s="42"/>
      <c r="E40" s="42"/>
      <c r="F40" s="42"/>
      <c r="G40" s="42"/>
      <c r="H40" s="42"/>
      <c r="I40" s="42"/>
      <c r="J40" s="42"/>
      <c r="K40" s="42"/>
      <c r="L40" s="42"/>
      <c r="M40" s="42"/>
      <c r="N40" s="42"/>
      <c r="O40" s="42"/>
    </row>
    <row r="41" spans="1:15">
      <c r="A41" s="43"/>
      <c r="B41" s="44"/>
      <c r="C41" s="44"/>
      <c r="D41" s="44"/>
      <c r="E41" s="44"/>
      <c r="F41" s="44"/>
      <c r="G41" s="44"/>
      <c r="H41" s="44"/>
      <c r="I41" s="44"/>
      <c r="J41" s="44"/>
      <c r="K41" s="44"/>
      <c r="L41" s="44"/>
      <c r="M41" s="44"/>
      <c r="N41" s="44"/>
    </row>
    <row r="42" spans="1:15">
      <c r="A42" s="48" t="s">
        <v>71</v>
      </c>
    </row>
    <row r="43" spans="1:15">
      <c r="A43" s="45" t="s">
        <v>72</v>
      </c>
    </row>
    <row r="44" spans="1:15">
      <c r="A44" s="45"/>
    </row>
    <row r="45" spans="1:15">
      <c r="A45" s="45"/>
      <c r="E45" s="1417"/>
      <c r="F45" s="1417"/>
    </row>
    <row r="46" spans="1:15">
      <c r="A46" s="45"/>
    </row>
    <row r="47" spans="1:15">
      <c r="A47" s="45"/>
    </row>
    <row r="48" spans="1:15">
      <c r="A48" s="45"/>
    </row>
    <row r="49" spans="1:7">
      <c r="A49" s="45"/>
      <c r="B49" s="38" t="s">
        <v>86</v>
      </c>
      <c r="E49" s="90"/>
      <c r="F49" s="38" t="s">
        <v>77</v>
      </c>
      <c r="G49" s="38" t="str">
        <f>IF(OR(E49=""),"",'Air Flow References'!AE16)</f>
        <v/>
      </c>
    </row>
    <row r="50" spans="1:7">
      <c r="A50" s="45"/>
    </row>
    <row r="51" spans="1:7">
      <c r="A51" s="45"/>
      <c r="B51" s="38" t="s">
        <v>87</v>
      </c>
      <c r="E51" s="90"/>
      <c r="F51" s="50" t="s">
        <v>77</v>
      </c>
      <c r="G51" s="38" t="str">
        <f>IF(OR(E51=""),"",'Air Flow References'!AE17)</f>
        <v/>
      </c>
    </row>
    <row r="52" spans="1:7">
      <c r="A52" s="45"/>
    </row>
    <row r="53" spans="1:7">
      <c r="A53" s="48" t="s">
        <v>78</v>
      </c>
    </row>
    <row r="54" spans="1:7">
      <c r="A54" s="48"/>
    </row>
    <row r="55" spans="1:7">
      <c r="A55" s="45" t="s">
        <v>88</v>
      </c>
      <c r="E55" s="90"/>
      <c r="F55" s="38" t="s">
        <v>82</v>
      </c>
      <c r="G55" s="38" t="str">
        <f>IF(OR(E55=""),"",'Air Flow References'!AE18)</f>
        <v/>
      </c>
    </row>
    <row r="56" spans="1:7">
      <c r="A56" s="45"/>
    </row>
    <row r="57" spans="1:7">
      <c r="A57" s="45" t="s">
        <v>89</v>
      </c>
      <c r="E57" s="90"/>
      <c r="F57" s="38" t="s">
        <v>77</v>
      </c>
      <c r="G57" s="38" t="str">
        <f>IF(OR(E57=""),"",'Air Flow References'!AE19)</f>
        <v/>
      </c>
    </row>
    <row r="58" spans="1:7">
      <c r="A58" s="45"/>
    </row>
    <row r="59" spans="1:7">
      <c r="A59" s="45" t="s">
        <v>90</v>
      </c>
      <c r="E59" s="90"/>
      <c r="F59" s="38" t="s">
        <v>77</v>
      </c>
      <c r="G59" s="38" t="str">
        <f>IF(OR(E59=""),"",'Air Flow References'!AE20)</f>
        <v/>
      </c>
    </row>
    <row r="60" spans="1:7">
      <c r="A60" s="45"/>
    </row>
    <row r="61" spans="1:7">
      <c r="A61" s="45" t="s">
        <v>91</v>
      </c>
      <c r="E61" s="92" t="str">
        <f>IF(OR(E57="",E59=""),"",E57-E59)</f>
        <v/>
      </c>
      <c r="F61" s="38" t="s">
        <v>77</v>
      </c>
      <c r="G61" s="38" t="str">
        <f>'Air Flow References'!AE21</f>
        <v/>
      </c>
    </row>
    <row r="62" spans="1:7">
      <c r="A62" s="45"/>
    </row>
    <row r="63" spans="1:7">
      <c r="A63" s="51" t="s">
        <v>92</v>
      </c>
    </row>
    <row r="64" spans="1:7">
      <c r="A64" s="45"/>
    </row>
    <row r="65" spans="1:15">
      <c r="A65" s="52" t="s">
        <v>93</v>
      </c>
      <c r="B65" s="53"/>
      <c r="C65" s="53"/>
      <c r="D65" s="53"/>
      <c r="E65" s="53"/>
      <c r="F65" s="53"/>
      <c r="G65" s="53"/>
      <c r="H65" s="53"/>
      <c r="I65" s="53"/>
      <c r="J65" s="53"/>
      <c r="K65" s="53"/>
      <c r="L65" s="53"/>
      <c r="M65" s="53"/>
      <c r="N65" s="53"/>
    </row>
    <row r="66" spans="1:15">
      <c r="A66" s="42" t="s">
        <v>199</v>
      </c>
      <c r="B66" s="42"/>
      <c r="C66" s="42"/>
      <c r="D66" s="42"/>
      <c r="E66" s="42"/>
      <c r="F66" s="42"/>
      <c r="G66" s="42"/>
      <c r="H66" s="42"/>
      <c r="I66" s="42"/>
      <c r="J66" s="42"/>
      <c r="K66" s="42"/>
      <c r="L66" s="42"/>
      <c r="M66" s="42"/>
      <c r="N66" s="42"/>
      <c r="O66" s="42"/>
    </row>
    <row r="67" spans="1:15">
      <c r="A67" s="43"/>
      <c r="B67" s="44"/>
      <c r="C67" s="44"/>
      <c r="D67" s="44"/>
      <c r="E67" s="44"/>
      <c r="F67" s="44"/>
      <c r="G67" s="44"/>
      <c r="H67" s="44"/>
      <c r="I67" s="44"/>
      <c r="J67" s="44"/>
      <c r="K67" s="44"/>
      <c r="L67" s="44"/>
      <c r="M67" s="44"/>
      <c r="N67" s="44"/>
    </row>
    <row r="68" spans="1:15">
      <c r="A68" s="48" t="s">
        <v>71</v>
      </c>
    </row>
    <row r="69" spans="1:15">
      <c r="A69" s="45" t="s">
        <v>72</v>
      </c>
    </row>
    <row r="70" spans="1:15">
      <c r="A70" s="45"/>
    </row>
    <row r="71" spans="1:15">
      <c r="A71" s="45"/>
      <c r="E71" s="1417"/>
      <c r="F71" s="1417"/>
    </row>
    <row r="72" spans="1:15">
      <c r="A72" s="45"/>
    </row>
    <row r="73" spans="1:15">
      <c r="A73" s="45"/>
    </row>
    <row r="74" spans="1:15">
      <c r="A74" s="45"/>
      <c r="B74" s="38" t="s">
        <v>74</v>
      </c>
      <c r="E74" s="90"/>
      <c r="F74" s="38" t="s">
        <v>298</v>
      </c>
      <c r="G74" s="148" t="str">
        <f>IF(OR(E74=""),"",'Air Flow References'!AE28)</f>
        <v/>
      </c>
    </row>
    <row r="75" spans="1:15">
      <c r="A75" s="45"/>
      <c r="B75" s="38" t="s">
        <v>297</v>
      </c>
      <c r="E75" s="145"/>
      <c r="G75" s="49"/>
    </row>
    <row r="76" spans="1:15">
      <c r="A76" s="45"/>
    </row>
    <row r="77" spans="1:15">
      <c r="A77" s="45"/>
      <c r="B77" s="38" t="s">
        <v>75</v>
      </c>
      <c r="E77" s="90"/>
      <c r="F77" s="38" t="s">
        <v>77</v>
      </c>
      <c r="G77" s="38" t="str">
        <f>IF(OR(E77=""),"",'Air Flow References'!AE29)</f>
        <v/>
      </c>
    </row>
    <row r="78" spans="1:15">
      <c r="A78" s="45"/>
    </row>
    <row r="79" spans="1:15">
      <c r="A79" s="45"/>
      <c r="B79" s="38" t="s">
        <v>76</v>
      </c>
      <c r="E79" s="90"/>
      <c r="F79" s="50" t="s">
        <v>77</v>
      </c>
      <c r="G79" s="38" t="str">
        <f>IF(OR(E79=""),"",'Air Flow References'!AE30)</f>
        <v/>
      </c>
    </row>
    <row r="80" spans="1:15">
      <c r="A80" s="45"/>
    </row>
    <row r="81" spans="1:15">
      <c r="A81" s="45"/>
    </row>
    <row r="82" spans="1:15">
      <c r="A82" s="48" t="s">
        <v>78</v>
      </c>
    </row>
    <row r="83" spans="1:15">
      <c r="A83" s="45"/>
    </row>
    <row r="84" spans="1:15">
      <c r="A84" s="45" t="s">
        <v>79</v>
      </c>
      <c r="E84" s="90"/>
      <c r="F84" s="38" t="s">
        <v>82</v>
      </c>
      <c r="G84" s="38" t="str">
        <f>IF(OR(E84=""),"",'Air Flow References'!AE31)</f>
        <v/>
      </c>
    </row>
    <row r="85" spans="1:15">
      <c r="A85" s="45"/>
    </row>
    <row r="86" spans="1:15">
      <c r="A86" s="45" t="s">
        <v>80</v>
      </c>
      <c r="E86" s="90"/>
      <c r="F86" s="50" t="s">
        <v>77</v>
      </c>
      <c r="G86" s="38" t="str">
        <f>IF(OR(E86=""),"",'Air Flow References'!AE32)</f>
        <v/>
      </c>
    </row>
    <row r="87" spans="1:15">
      <c r="A87" s="45"/>
    </row>
    <row r="88" spans="1:15">
      <c r="A88" s="45" t="s">
        <v>81</v>
      </c>
      <c r="E88" s="90"/>
      <c r="F88" s="50" t="s">
        <v>77</v>
      </c>
      <c r="G88" s="38" t="str">
        <f>IF(OR(E88=""),"",'Air Flow References'!AE33)</f>
        <v/>
      </c>
    </row>
    <row r="89" spans="1:15">
      <c r="A89" s="45"/>
    </row>
    <row r="90" spans="1:15">
      <c r="A90" s="45" t="s">
        <v>83</v>
      </c>
      <c r="E90" s="92" t="str">
        <f>IF(OR(E86="",E88=""),"",E88-E86)</f>
        <v/>
      </c>
      <c r="F90" s="50" t="s">
        <v>77</v>
      </c>
      <c r="G90" s="38" t="str">
        <f>'Air Flow References'!AE34</f>
        <v/>
      </c>
    </row>
    <row r="91" spans="1:15">
      <c r="A91" s="45"/>
    </row>
    <row r="92" spans="1:15">
      <c r="A92" s="51" t="s">
        <v>84</v>
      </c>
    </row>
    <row r="93" spans="1:15">
      <c r="A93" s="45"/>
    </row>
    <row r="94" spans="1:15">
      <c r="A94" s="41" t="s">
        <v>85</v>
      </c>
    </row>
    <row r="95" spans="1:15">
      <c r="A95" s="42" t="s">
        <v>575</v>
      </c>
      <c r="B95" s="42"/>
      <c r="C95" s="42"/>
      <c r="D95" s="42"/>
      <c r="E95" s="42"/>
      <c r="F95" s="42"/>
      <c r="G95" s="42"/>
      <c r="H95" s="42"/>
      <c r="I95" s="42"/>
      <c r="J95" s="42"/>
      <c r="K95" s="42"/>
      <c r="L95" s="42"/>
      <c r="M95" s="42"/>
      <c r="N95" s="42"/>
      <c r="O95" s="42"/>
    </row>
    <row r="96" spans="1:15">
      <c r="A96" s="43"/>
      <c r="B96" s="44"/>
      <c r="C96" s="44"/>
      <c r="D96" s="44"/>
      <c r="E96" s="44"/>
      <c r="F96" s="44"/>
      <c r="G96" s="44"/>
      <c r="H96" s="44"/>
      <c r="I96" s="44"/>
      <c r="J96" s="44"/>
      <c r="K96" s="44"/>
      <c r="L96" s="44"/>
      <c r="M96" s="44"/>
      <c r="N96" s="44"/>
    </row>
    <row r="97" spans="1:14">
      <c r="A97" s="45" t="s">
        <v>49</v>
      </c>
    </row>
    <row r="98" spans="1:14" ht="9.75" customHeight="1">
      <c r="A98" s="45"/>
    </row>
    <row r="99" spans="1:14" ht="15.75" customHeight="1">
      <c r="A99" s="45"/>
      <c r="E99" s="1211"/>
      <c r="F99" s="1211"/>
      <c r="G99" s="38" t="s">
        <v>50</v>
      </c>
    </row>
    <row r="100" spans="1:14">
      <c r="A100" s="1397" t="s">
        <v>1432</v>
      </c>
      <c r="B100" s="1124"/>
    </row>
    <row r="101" spans="1:14">
      <c r="A101" s="1397"/>
      <c r="B101" s="1124"/>
      <c r="C101" s="463"/>
      <c r="D101" s="38" t="s">
        <v>1515</v>
      </c>
      <c r="E101" s="463"/>
      <c r="F101" s="38" t="s">
        <v>1516</v>
      </c>
    </row>
    <row r="102" spans="1:14">
      <c r="A102" s="45"/>
    </row>
    <row r="103" spans="1:14">
      <c r="A103" s="45"/>
    </row>
    <row r="104" spans="1:14">
      <c r="A104" s="45" t="s">
        <v>1517</v>
      </c>
      <c r="E104" s="295"/>
    </row>
    <row r="105" spans="1:14">
      <c r="A105" s="45"/>
    </row>
    <row r="106" spans="1:14">
      <c r="A106" s="45"/>
    </row>
    <row r="107" spans="1:14">
      <c r="A107" s="45" t="s">
        <v>59</v>
      </c>
      <c r="E107" s="295"/>
    </row>
    <row r="108" spans="1:14">
      <c r="A108" s="45"/>
    </row>
    <row r="109" spans="1:14">
      <c r="A109" s="45"/>
    </row>
    <row r="110" spans="1:14">
      <c r="A110" s="45" t="s">
        <v>1433</v>
      </c>
      <c r="C110" s="463"/>
      <c r="D110" s="38" t="s">
        <v>60</v>
      </c>
    </row>
    <row r="111" spans="1:14">
      <c r="A111" s="45"/>
    </row>
    <row r="112" spans="1:14">
      <c r="A112" s="45" t="s">
        <v>61</v>
      </c>
      <c r="D112" s="504"/>
      <c r="E112" s="38" t="s">
        <v>62</v>
      </c>
      <c r="F112" s="38" t="s">
        <v>63</v>
      </c>
      <c r="G112" s="460"/>
      <c r="H112" s="38" t="s">
        <v>60</v>
      </c>
      <c r="I112" s="38" t="s">
        <v>64</v>
      </c>
      <c r="J112" s="434"/>
      <c r="K112" s="38" t="s">
        <v>65</v>
      </c>
      <c r="L112" s="46" t="s">
        <v>66</v>
      </c>
      <c r="M112" s="460"/>
      <c r="N112" s="38" t="s">
        <v>67</v>
      </c>
    </row>
    <row r="113" spans="1:15">
      <c r="A113" s="45"/>
      <c r="L113" s="46"/>
    </row>
    <row r="114" spans="1:15">
      <c r="A114" s="45" t="s">
        <v>142</v>
      </c>
      <c r="D114" s="504"/>
      <c r="E114" s="38" t="s">
        <v>62</v>
      </c>
      <c r="F114" s="38" t="s">
        <v>63</v>
      </c>
      <c r="G114" s="460"/>
      <c r="H114" s="38" t="s">
        <v>60</v>
      </c>
      <c r="I114" s="38" t="s">
        <v>64</v>
      </c>
      <c r="J114" s="434"/>
      <c r="K114" s="38" t="s">
        <v>65</v>
      </c>
      <c r="L114" s="46" t="s">
        <v>66</v>
      </c>
      <c r="M114" s="460"/>
      <c r="N114" s="38" t="s">
        <v>67</v>
      </c>
    </row>
    <row r="115" spans="1:15">
      <c r="A115" s="45"/>
    </row>
    <row r="116" spans="1:15">
      <c r="A116" s="47" t="s">
        <v>190</v>
      </c>
      <c r="M116" s="460"/>
      <c r="N116" s="38" t="s">
        <v>67</v>
      </c>
    </row>
    <row r="117" spans="1:15">
      <c r="A117" s="45"/>
    </row>
    <row r="118" spans="1:15">
      <c r="A118" s="1401" t="s">
        <v>68</v>
      </c>
      <c r="B118" s="1399"/>
      <c r="C118" s="1399"/>
      <c r="D118" s="1399"/>
      <c r="E118" s="1402"/>
      <c r="F118" s="1398" t="s">
        <v>69</v>
      </c>
      <c r="G118" s="1398"/>
      <c r="H118" s="1398"/>
      <c r="I118" s="1398"/>
      <c r="J118" s="1398"/>
      <c r="K118" s="1398"/>
      <c r="L118" s="139"/>
      <c r="M118" s="1413" t="str">
        <f>IF(AND(M112="",M114="",M116=""),"",M112+M114+M116)</f>
        <v/>
      </c>
      <c r="N118" s="1399" t="s">
        <v>67</v>
      </c>
    </row>
    <row r="119" spans="1:15">
      <c r="A119" s="1401"/>
      <c r="B119" s="1399"/>
      <c r="C119" s="1399"/>
      <c r="D119" s="1399"/>
      <c r="E119" s="1402"/>
      <c r="F119" s="1398"/>
      <c r="G119" s="1398"/>
      <c r="H119" s="1398"/>
      <c r="I119" s="1398"/>
      <c r="J119" s="1398"/>
      <c r="K119" s="1398"/>
      <c r="L119" s="139"/>
      <c r="M119" s="1414"/>
      <c r="N119" s="1399"/>
    </row>
    <row r="120" spans="1:15">
      <c r="A120" s="45"/>
    </row>
    <row r="121" spans="1:15">
      <c r="A121" s="41" t="s">
        <v>70</v>
      </c>
    </row>
    <row r="122" spans="1:15"/>
    <row r="123" spans="1:15"/>
    <row r="124" spans="1:15"/>
    <row r="125" spans="1:15" ht="14.5" customHeight="1">
      <c r="A125" s="44" t="s">
        <v>165</v>
      </c>
      <c r="B125" s="44"/>
      <c r="C125" s="44" t="str">
        <f>Development!$A$4&amp;"_"&amp;Development!$A$2</f>
        <v>01.01.2025_1.0</v>
      </c>
      <c r="D125" s="44"/>
      <c r="E125" s="44"/>
      <c r="F125" s="44"/>
      <c r="G125" s="44"/>
      <c r="H125" s="44"/>
      <c r="I125" s="44"/>
      <c r="J125" s="44"/>
      <c r="K125" s="44"/>
      <c r="L125" s="44"/>
      <c r="M125" s="44" t="s">
        <v>167</v>
      </c>
      <c r="N125" s="44" t="str">
        <f>Development!A4</f>
        <v>01.01.2025</v>
      </c>
      <c r="O125" s="44"/>
    </row>
    <row r="126" spans="1:15" ht="14.5" customHeight="1"/>
    <row r="127" spans="1:15" ht="14.5" customHeight="1"/>
    <row r="128" spans="1:15" ht="14.5" customHeight="1"/>
    <row r="129" ht="14.5" customHeight="1"/>
    <row r="130" ht="14.5" customHeight="1"/>
    <row r="131" ht="14.5" customHeight="1"/>
    <row r="132" ht="14.5" customHeight="1"/>
    <row r="133" ht="14.5" customHeight="1"/>
    <row r="134" ht="14.5" customHeight="1"/>
    <row r="135" ht="14.5" customHeight="1"/>
    <row r="136" ht="14.5" customHeight="1"/>
    <row r="137" ht="14.5" customHeight="1"/>
    <row r="138" ht="14.5" customHeight="1"/>
    <row r="139" ht="14.5" customHeight="1"/>
    <row r="140" ht="14.5" customHeight="1"/>
    <row r="141" ht="14.5" customHeight="1"/>
    <row r="142" ht="14.5" customHeight="1"/>
    <row r="143" ht="14.5" customHeight="1"/>
    <row r="144" ht="14.5" customHeight="1"/>
    <row r="145" ht="14.5" customHeight="1"/>
    <row r="146" ht="14.5" customHeight="1"/>
    <row r="147" ht="14.5" customHeight="1"/>
    <row r="148" ht="14.5" customHeight="1"/>
    <row r="149" ht="14.5" customHeight="1"/>
    <row r="150" ht="14.5" customHeight="1"/>
    <row r="151" ht="14.5" customHeight="1"/>
    <row r="152" ht="14.5" customHeight="1"/>
    <row r="153" ht="14.5" customHeight="1"/>
    <row r="154" ht="14.5" customHeight="1"/>
    <row r="155" ht="14.5" customHeight="1"/>
    <row r="156" ht="14.5" customHeight="1"/>
    <row r="157" ht="14.5" customHeight="1"/>
    <row r="158" ht="14.5" customHeight="1"/>
    <row r="159" ht="14.5" customHeight="1"/>
    <row r="160" ht="14.5" customHeight="1"/>
    <row r="161" ht="14.5" customHeight="1"/>
    <row r="162" ht="14.5" customHeight="1"/>
    <row r="163" ht="14.5" customHeight="1"/>
    <row r="164" ht="14.5" customHeight="1"/>
    <row r="165" ht="14.5" customHeight="1"/>
    <row r="166" ht="14.5" customHeight="1"/>
    <row r="167" ht="14.5" customHeight="1"/>
    <row r="168" ht="14.5" customHeight="1"/>
    <row r="169" ht="14.5" customHeight="1"/>
    <row r="170" ht="14.5" customHeight="1"/>
    <row r="171" ht="14.5" customHeight="1"/>
    <row r="172" ht="14.5" customHeight="1"/>
    <row r="173" ht="14.5" customHeight="1"/>
    <row r="174" ht="14.5" customHeight="1"/>
    <row r="175" ht="14.5" customHeight="1"/>
    <row r="176" ht="14.5" customHeight="1"/>
    <row r="177" ht="14.5" customHeight="1"/>
    <row r="178" ht="14.5" customHeight="1"/>
    <row r="179" ht="14.5" customHeight="1"/>
    <row r="180" ht="14.5" customHeight="1"/>
    <row r="181" ht="14.5" customHeight="1"/>
    <row r="182" ht="14.5" customHeight="1"/>
    <row r="183" ht="14.5" customHeight="1"/>
    <row r="184" ht="14.5" customHeight="1"/>
    <row r="185" ht="14.5" customHeight="1"/>
    <row r="186" ht="14.5" customHeight="1"/>
    <row r="187" ht="14.5" customHeight="1"/>
    <row r="188" ht="14.5" customHeight="1"/>
    <row r="189" ht="14.5" customHeight="1"/>
    <row r="190" ht="14.5" customHeight="1"/>
    <row r="191" ht="14.5" customHeight="1"/>
    <row r="192" ht="14.5" customHeight="1"/>
    <row r="193" ht="14.5" customHeight="1"/>
    <row r="194" ht="14.5" customHeight="1"/>
  </sheetData>
  <sheetProtection algorithmName="SHA-512" hashValue="d2feMyskzlej/31US/wq8AiKAesrw51AIUThMttWQ8K9vhTfu+a5+0FYZ4qPJmosMyE4q9oMZ5J4HJNQuX+s7Q==" saltValue="BQ5YmsSHzks6OB5aa4wMQA==" spinCount="100000" sheet="1" objects="1" scenarios="1"/>
  <mergeCells count="23">
    <mergeCell ref="M118:M119"/>
    <mergeCell ref="N118:N119"/>
    <mergeCell ref="E71:F71"/>
    <mergeCell ref="E99:F99"/>
    <mergeCell ref="A118:E119"/>
    <mergeCell ref="F118:K119"/>
    <mergeCell ref="A100:B101"/>
    <mergeCell ref="E22:F22"/>
    <mergeCell ref="A29:M29"/>
    <mergeCell ref="C30:L30"/>
    <mergeCell ref="I38:J38"/>
    <mergeCell ref="E45:F45"/>
    <mergeCell ref="E25:F25"/>
    <mergeCell ref="E15:F15"/>
    <mergeCell ref="M15:N15"/>
    <mergeCell ref="A18:D18"/>
    <mergeCell ref="E18:F18"/>
    <mergeCell ref="M18:N18"/>
    <mergeCell ref="A1:J1"/>
    <mergeCell ref="A2:J2"/>
    <mergeCell ref="C5:D5"/>
    <mergeCell ref="H5:I5"/>
    <mergeCell ref="H7:I7"/>
  </mergeCells>
  <pageMargins left="0.25" right="0.25" top="0.75" bottom="0.75" header="0.3" footer="0.3"/>
  <pageSetup scale="56" fitToHeight="4" orientation="portrait" r:id="rId1"/>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drawing r:id="rId2"/>
  <legacyDrawing r:id="rId3"/>
  <controls>
    <mc:AlternateContent xmlns:mc="http://schemas.openxmlformats.org/markup-compatibility/2006">
      <mc:Choice Requires="x14">
        <control shapeId="70695" r:id="rId4" name="CommandButton1">
          <controlPr defaultSize="0" autoLine="0" r:id="rId5">
            <anchor moveWithCells="1">
              <from>
                <xdr:col>11</xdr:col>
                <xdr:colOff>374650</xdr:colOff>
                <xdr:row>120</xdr:row>
                <xdr:rowOff>88900</xdr:rowOff>
              </from>
              <to>
                <xdr:col>14</xdr:col>
                <xdr:colOff>647700</xdr:colOff>
                <xdr:row>123</xdr:row>
                <xdr:rowOff>107950</xdr:rowOff>
              </to>
            </anchor>
          </controlPr>
        </control>
      </mc:Choice>
      <mc:Fallback>
        <control shapeId="70695" r:id="rId4" name="CommandButton1"/>
      </mc:Fallback>
    </mc:AlternateContent>
    <mc:AlternateContent xmlns:mc="http://schemas.openxmlformats.org/markup-compatibility/2006">
      <mc:Choice Requires="x14">
        <control shapeId="70683" r:id="rId6" name="OptionButton10">
          <controlPr defaultSize="0" autoLine="0" r:id="rId7">
            <anchor moveWithCells="1">
              <from>
                <xdr:col>1</xdr:col>
                <xdr:colOff>0</xdr:colOff>
                <xdr:row>44</xdr:row>
                <xdr:rowOff>0</xdr:rowOff>
              </from>
              <to>
                <xdr:col>1</xdr:col>
                <xdr:colOff>647700</xdr:colOff>
                <xdr:row>45</xdr:row>
                <xdr:rowOff>76200</xdr:rowOff>
              </to>
            </anchor>
          </controlPr>
        </control>
      </mc:Choice>
      <mc:Fallback>
        <control shapeId="70683" r:id="rId6" name="OptionButton10"/>
      </mc:Fallback>
    </mc:AlternateContent>
    <mc:AlternateContent xmlns:mc="http://schemas.openxmlformats.org/markup-compatibility/2006">
      <mc:Choice Requires="x14">
        <control shapeId="70674" r:id="rId8" name="OptionButton7">
          <controlPr defaultSize="0" autoLine="0" r:id="rId9">
            <anchor moveWithCells="1">
              <from>
                <xdr:col>1</xdr:col>
                <xdr:colOff>19050</xdr:colOff>
                <xdr:row>70</xdr:row>
                <xdr:rowOff>0</xdr:rowOff>
              </from>
              <to>
                <xdr:col>2</xdr:col>
                <xdr:colOff>12700</xdr:colOff>
                <xdr:row>71</xdr:row>
                <xdr:rowOff>76200</xdr:rowOff>
              </to>
            </anchor>
          </controlPr>
        </control>
      </mc:Choice>
      <mc:Fallback>
        <control shapeId="70674" r:id="rId8" name="OptionButton7"/>
      </mc:Fallback>
    </mc:AlternateContent>
    <mc:AlternateContent xmlns:mc="http://schemas.openxmlformats.org/markup-compatibility/2006">
      <mc:Choice Requires="x14">
        <control shapeId="70658" r:id="rId10" name="OptionButton2">
          <controlPr defaultSize="0" autoLine="0" r:id="rId11">
            <anchor moveWithCells="1">
              <from>
                <xdr:col>6</xdr:col>
                <xdr:colOff>0</xdr:colOff>
                <xdr:row>19</xdr:row>
                <xdr:rowOff>222250</xdr:rowOff>
              </from>
              <to>
                <xdr:col>10</xdr:col>
                <xdr:colOff>279400</xdr:colOff>
                <xdr:row>20</xdr:row>
                <xdr:rowOff>209550</xdr:rowOff>
              </to>
            </anchor>
          </controlPr>
        </control>
      </mc:Choice>
      <mc:Fallback>
        <control shapeId="70658" r:id="rId10" name="OptionButton2"/>
      </mc:Fallback>
    </mc:AlternateContent>
    <mc:AlternateContent xmlns:mc="http://schemas.openxmlformats.org/markup-compatibility/2006">
      <mc:Choice Requires="x14">
        <control shapeId="70657" r:id="rId12" name="OptionButton1">
          <controlPr defaultSize="0" autoLine="0" autoPict="0" r:id="rId13">
            <anchor moveWithCells="1">
              <from>
                <xdr:col>3</xdr:col>
                <xdr:colOff>69850</xdr:colOff>
                <xdr:row>19</xdr:row>
                <xdr:rowOff>228600</xdr:rowOff>
              </from>
              <to>
                <xdr:col>6</xdr:col>
                <xdr:colOff>514350</xdr:colOff>
                <xdr:row>20</xdr:row>
                <xdr:rowOff>165100</xdr:rowOff>
              </to>
            </anchor>
          </controlPr>
        </control>
      </mc:Choice>
      <mc:Fallback>
        <control shapeId="70657" r:id="rId12" name="OptionButton1"/>
      </mc:Fallback>
    </mc:AlternateContent>
    <mc:AlternateContent xmlns:mc="http://schemas.openxmlformats.org/markup-compatibility/2006">
      <mc:Choice Requires="x14">
        <control shapeId="70659" r:id="rId14" name="Group Box 3">
          <controlPr defaultSize="0" autoFill="0" autoPict="0">
            <anchor moveWithCells="1">
              <from>
                <xdr:col>0</xdr:col>
                <xdr:colOff>12700</xdr:colOff>
                <xdr:row>19</xdr:row>
                <xdr:rowOff>57150</xdr:rowOff>
              </from>
              <to>
                <xdr:col>7</xdr:col>
                <xdr:colOff>146050</xdr:colOff>
                <xdr:row>20</xdr:row>
                <xdr:rowOff>336550</xdr:rowOff>
              </to>
            </anchor>
          </controlPr>
        </control>
      </mc:Choice>
    </mc:AlternateContent>
    <mc:AlternateContent xmlns:mc="http://schemas.openxmlformats.org/markup-compatibility/2006">
      <mc:Choice Requires="x14">
        <control shapeId="70660" r:id="rId15" name="Check Box 4">
          <controlPr defaultSize="0" autoFill="0" autoLine="0" autoPict="0">
            <anchor moveWithCells="1">
              <from>
                <xdr:col>7</xdr:col>
                <xdr:colOff>533400</xdr:colOff>
                <xdr:row>21</xdr:row>
                <xdr:rowOff>165100</xdr:rowOff>
              </from>
              <to>
                <xdr:col>9</xdr:col>
                <xdr:colOff>50800</xdr:colOff>
                <xdr:row>22</xdr:row>
                <xdr:rowOff>0</xdr:rowOff>
              </to>
            </anchor>
          </controlPr>
        </control>
      </mc:Choice>
    </mc:AlternateContent>
    <mc:AlternateContent xmlns:mc="http://schemas.openxmlformats.org/markup-compatibility/2006">
      <mc:Choice Requires="x14">
        <control shapeId="70661" r:id="rId16" name="Check Box 5">
          <controlPr defaultSize="0" autoFill="0" autoLine="0" autoPict="0">
            <anchor moveWithCells="1">
              <from>
                <xdr:col>9</xdr:col>
                <xdr:colOff>419100</xdr:colOff>
                <xdr:row>21</xdr:row>
                <xdr:rowOff>165100</xdr:rowOff>
              </from>
              <to>
                <xdr:col>10</xdr:col>
                <xdr:colOff>990600</xdr:colOff>
                <xdr:row>22</xdr:row>
                <xdr:rowOff>0</xdr:rowOff>
              </to>
            </anchor>
          </controlPr>
        </control>
      </mc:Choice>
    </mc:AlternateContent>
    <mc:AlternateContent xmlns:mc="http://schemas.openxmlformats.org/markup-compatibility/2006">
      <mc:Choice Requires="x14">
        <control shapeId="70665" r:id="rId17" name="Group Box 9">
          <controlPr defaultSize="0" autoFill="0" autoPict="0">
            <anchor moveWithCells="1">
              <from>
                <xdr:col>0</xdr:col>
                <xdr:colOff>50800</xdr:colOff>
                <xdr:row>65</xdr:row>
                <xdr:rowOff>0</xdr:rowOff>
              </from>
              <to>
                <xdr:col>4</xdr:col>
                <xdr:colOff>304800</xdr:colOff>
                <xdr:row>69</xdr:row>
                <xdr:rowOff>95250</xdr:rowOff>
              </to>
            </anchor>
          </controlPr>
        </control>
      </mc:Choice>
    </mc:AlternateContent>
    <mc:AlternateContent xmlns:mc="http://schemas.openxmlformats.org/markup-compatibility/2006">
      <mc:Choice Requires="x14">
        <control shapeId="70666" r:id="rId18" name="Option Button 10">
          <controlPr defaultSize="0" autoFill="0" autoLine="0" autoPict="0">
            <anchor moveWithCells="1">
              <from>
                <xdr:col>4</xdr:col>
                <xdr:colOff>419100</xdr:colOff>
                <xdr:row>65</xdr:row>
                <xdr:rowOff>0</xdr:rowOff>
              </from>
              <to>
                <xdr:col>5</xdr:col>
                <xdr:colOff>50800</xdr:colOff>
                <xdr:row>66</xdr:row>
                <xdr:rowOff>50800</xdr:rowOff>
              </to>
            </anchor>
          </controlPr>
        </control>
      </mc:Choice>
    </mc:AlternateContent>
    <mc:AlternateContent xmlns:mc="http://schemas.openxmlformats.org/markup-compatibility/2006">
      <mc:Choice Requires="x14">
        <control shapeId="70667" r:id="rId19" name="Option Button 11">
          <controlPr defaultSize="0" autoFill="0" autoLine="0" autoPict="0">
            <anchor moveWithCells="1">
              <from>
                <xdr:col>5</xdr:col>
                <xdr:colOff>571500</xdr:colOff>
                <xdr:row>65</xdr:row>
                <xdr:rowOff>0</xdr:rowOff>
              </from>
              <to>
                <xdr:col>6</xdr:col>
                <xdr:colOff>0</xdr:colOff>
                <xdr:row>66</xdr:row>
                <xdr:rowOff>0</xdr:rowOff>
              </to>
            </anchor>
          </controlPr>
        </control>
      </mc:Choice>
    </mc:AlternateContent>
    <mc:AlternateContent xmlns:mc="http://schemas.openxmlformats.org/markup-compatibility/2006">
      <mc:Choice Requires="x14">
        <control shapeId="70668" r:id="rId20" name="Group Box 12">
          <controlPr defaultSize="0" autoFill="0" autoPict="0">
            <anchor moveWithCells="1">
              <from>
                <xdr:col>4</xdr:col>
                <xdr:colOff>361950</xdr:colOff>
                <xdr:row>65</xdr:row>
                <xdr:rowOff>0</xdr:rowOff>
              </from>
              <to>
                <xdr:col>6</xdr:col>
                <xdr:colOff>533400</xdr:colOff>
                <xdr:row>67</xdr:row>
                <xdr:rowOff>152400</xdr:rowOff>
              </to>
            </anchor>
          </controlPr>
        </control>
      </mc:Choice>
    </mc:AlternateContent>
    <mc:AlternateContent xmlns:mc="http://schemas.openxmlformats.org/markup-compatibility/2006">
      <mc:Choice Requires="x14">
        <control shapeId="70669" r:id="rId21" name="Group Box 13">
          <controlPr defaultSize="0" autoFill="0" autoPict="0">
            <anchor moveWithCells="1">
              <from>
                <xdr:col>0</xdr:col>
                <xdr:colOff>374650</xdr:colOff>
                <xdr:row>65</xdr:row>
                <xdr:rowOff>0</xdr:rowOff>
              </from>
              <to>
                <xdr:col>4</xdr:col>
                <xdr:colOff>304800</xdr:colOff>
                <xdr:row>68</xdr:row>
                <xdr:rowOff>95250</xdr:rowOff>
              </to>
            </anchor>
          </controlPr>
        </control>
      </mc:Choice>
    </mc:AlternateContent>
    <mc:AlternateContent xmlns:mc="http://schemas.openxmlformats.org/markup-compatibility/2006">
      <mc:Choice Requires="x14">
        <control shapeId="70670" r:id="rId22" name="Option Button 14">
          <controlPr defaultSize="0" autoFill="0" autoLine="0" autoPict="0">
            <anchor moveWithCells="1">
              <from>
                <xdr:col>4</xdr:col>
                <xdr:colOff>419100</xdr:colOff>
                <xdr:row>65</xdr:row>
                <xdr:rowOff>0</xdr:rowOff>
              </from>
              <to>
                <xdr:col>5</xdr:col>
                <xdr:colOff>50800</xdr:colOff>
                <xdr:row>66</xdr:row>
                <xdr:rowOff>50800</xdr:rowOff>
              </to>
            </anchor>
          </controlPr>
        </control>
      </mc:Choice>
    </mc:AlternateContent>
    <mc:AlternateContent xmlns:mc="http://schemas.openxmlformats.org/markup-compatibility/2006">
      <mc:Choice Requires="x14">
        <control shapeId="70671" r:id="rId23" name="Option Button 15">
          <controlPr defaultSize="0" autoFill="0" autoLine="0" autoPict="0">
            <anchor moveWithCells="1">
              <from>
                <xdr:col>5</xdr:col>
                <xdr:colOff>571500</xdr:colOff>
                <xdr:row>65</xdr:row>
                <xdr:rowOff>0</xdr:rowOff>
              </from>
              <to>
                <xdr:col>6</xdr:col>
                <xdr:colOff>0</xdr:colOff>
                <xdr:row>66</xdr:row>
                <xdr:rowOff>0</xdr:rowOff>
              </to>
            </anchor>
          </controlPr>
        </control>
      </mc:Choice>
    </mc:AlternateContent>
    <mc:AlternateContent xmlns:mc="http://schemas.openxmlformats.org/markup-compatibility/2006">
      <mc:Choice Requires="x14">
        <control shapeId="70672" r:id="rId24" name="Group Box 16">
          <controlPr defaultSize="0" autoFill="0" autoPict="0">
            <anchor moveWithCells="1">
              <from>
                <xdr:col>4</xdr:col>
                <xdr:colOff>266700</xdr:colOff>
                <xdr:row>65</xdr:row>
                <xdr:rowOff>0</xdr:rowOff>
              </from>
              <to>
                <xdr:col>6</xdr:col>
                <xdr:colOff>323850</xdr:colOff>
                <xdr:row>67</xdr:row>
                <xdr:rowOff>165100</xdr:rowOff>
              </to>
            </anchor>
          </controlPr>
        </control>
      </mc:Choice>
    </mc:AlternateContent>
    <mc:AlternateContent xmlns:mc="http://schemas.openxmlformats.org/markup-compatibility/2006">
      <mc:Choice Requires="x14">
        <control shapeId="70676" r:id="rId25" name="Group Box 20">
          <controlPr defaultSize="0" autoFill="0" autoPict="0">
            <anchor moveWithCells="1">
              <from>
                <xdr:col>0</xdr:col>
                <xdr:colOff>317500</xdr:colOff>
                <xdr:row>68</xdr:row>
                <xdr:rowOff>209550</xdr:rowOff>
              </from>
              <to>
                <xdr:col>4</xdr:col>
                <xdr:colOff>304800</xdr:colOff>
                <xdr:row>72</xdr:row>
                <xdr:rowOff>12700</xdr:rowOff>
              </to>
            </anchor>
          </controlPr>
        </control>
      </mc:Choice>
    </mc:AlternateContent>
    <mc:AlternateContent xmlns:mc="http://schemas.openxmlformats.org/markup-compatibility/2006">
      <mc:Choice Requires="x14">
        <control shapeId="70677" r:id="rId26" name="Option Button 21">
          <controlPr defaultSize="0" autoFill="0" autoLine="0" autoPict="0">
            <anchor moveWithCells="1">
              <from>
                <xdr:col>2</xdr:col>
                <xdr:colOff>889000</xdr:colOff>
                <xdr:row>37</xdr:row>
                <xdr:rowOff>127000</xdr:rowOff>
              </from>
              <to>
                <xdr:col>3</xdr:col>
                <xdr:colOff>889000</xdr:colOff>
                <xdr:row>38</xdr:row>
                <xdr:rowOff>127000</xdr:rowOff>
              </to>
            </anchor>
          </controlPr>
        </control>
      </mc:Choice>
    </mc:AlternateContent>
    <mc:AlternateContent xmlns:mc="http://schemas.openxmlformats.org/markup-compatibility/2006">
      <mc:Choice Requires="x14">
        <control shapeId="70678" r:id="rId27" name="Option Button 22">
          <controlPr defaultSize="0" autoFill="0" autoLine="0" autoPict="0">
            <anchor moveWithCells="1">
              <from>
                <xdr:col>2</xdr:col>
                <xdr:colOff>736600</xdr:colOff>
                <xdr:row>37</xdr:row>
                <xdr:rowOff>69850</xdr:rowOff>
              </from>
              <to>
                <xdr:col>3</xdr:col>
                <xdr:colOff>990600</xdr:colOff>
                <xdr:row>38</xdr:row>
                <xdr:rowOff>69850</xdr:rowOff>
              </to>
            </anchor>
          </controlPr>
        </control>
      </mc:Choice>
    </mc:AlternateContent>
    <mc:AlternateContent xmlns:mc="http://schemas.openxmlformats.org/markup-compatibility/2006">
      <mc:Choice Requires="x14">
        <control shapeId="70679" r:id="rId28" name="Option Button 23">
          <controlPr defaultSize="0" autoFill="0" autoLine="0" autoPict="0">
            <anchor moveWithCells="1">
              <from>
                <xdr:col>4</xdr:col>
                <xdr:colOff>50800</xdr:colOff>
                <xdr:row>37</xdr:row>
                <xdr:rowOff>69850</xdr:rowOff>
              </from>
              <to>
                <xdr:col>5</xdr:col>
                <xdr:colOff>469900</xdr:colOff>
                <xdr:row>38</xdr:row>
                <xdr:rowOff>69850</xdr:rowOff>
              </to>
            </anchor>
          </controlPr>
        </control>
      </mc:Choice>
    </mc:AlternateContent>
    <mc:AlternateContent xmlns:mc="http://schemas.openxmlformats.org/markup-compatibility/2006">
      <mc:Choice Requires="x14">
        <control shapeId="70681" r:id="rId29" name="Group Box 25">
          <controlPr defaultSize="0" autoFill="0" autoPict="0">
            <anchor moveWithCells="1">
              <from>
                <xdr:col>2</xdr:col>
                <xdr:colOff>533400</xdr:colOff>
                <xdr:row>36</xdr:row>
                <xdr:rowOff>266700</xdr:rowOff>
              </from>
              <to>
                <xdr:col>14</xdr:col>
                <xdr:colOff>895350</xdr:colOff>
                <xdr:row>39</xdr:row>
                <xdr:rowOff>50800</xdr:rowOff>
              </to>
            </anchor>
          </controlPr>
        </control>
      </mc:Choice>
    </mc:AlternateContent>
    <mc:AlternateContent xmlns:mc="http://schemas.openxmlformats.org/markup-compatibility/2006">
      <mc:Choice Requires="x14">
        <control shapeId="70685" r:id="rId30" name="Group Box 29">
          <controlPr defaultSize="0" autoFill="0" autoPict="0">
            <anchor moveWithCells="1">
              <from>
                <xdr:col>0</xdr:col>
                <xdr:colOff>571500</xdr:colOff>
                <xdr:row>42</xdr:row>
                <xdr:rowOff>209550</xdr:rowOff>
              </from>
              <to>
                <xdr:col>4</xdr:col>
                <xdr:colOff>304800</xdr:colOff>
                <xdr:row>46</xdr:row>
                <xdr:rowOff>12700</xdr:rowOff>
              </to>
            </anchor>
          </controlPr>
        </control>
      </mc:Choice>
    </mc:AlternateContent>
    <mc:AlternateContent xmlns:mc="http://schemas.openxmlformats.org/markup-compatibility/2006">
      <mc:Choice Requires="x14">
        <control shapeId="70757" r:id="rId31" name="Check Box 101">
          <controlPr defaultSize="0" autoFill="0" autoLine="0" autoPict="0">
            <anchor moveWithCells="1">
              <from>
                <xdr:col>3</xdr:col>
                <xdr:colOff>812800</xdr:colOff>
                <xdr:row>9</xdr:row>
                <xdr:rowOff>114300</xdr:rowOff>
              </from>
              <to>
                <xdr:col>4</xdr:col>
                <xdr:colOff>603250</xdr:colOff>
                <xdr:row>10</xdr:row>
                <xdr:rowOff>12700</xdr:rowOff>
              </to>
            </anchor>
          </controlPr>
        </control>
      </mc:Choice>
    </mc:AlternateContent>
    <mc:AlternateContent xmlns:mc="http://schemas.openxmlformats.org/markup-compatibility/2006">
      <mc:Choice Requires="x14">
        <control shapeId="70758" r:id="rId32" name="Check Box 102">
          <controlPr defaultSize="0" autoFill="0" autoLine="0" autoPict="0">
            <anchor moveWithCells="1">
              <from>
                <xdr:col>2</xdr:col>
                <xdr:colOff>12700</xdr:colOff>
                <xdr:row>9</xdr:row>
                <xdr:rowOff>88900</xdr:rowOff>
              </from>
              <to>
                <xdr:col>3</xdr:col>
                <xdr:colOff>0</xdr:colOff>
                <xdr:row>10</xdr:row>
                <xdr:rowOff>0</xdr:rowOff>
              </to>
            </anchor>
          </controlPr>
        </control>
      </mc:Choice>
    </mc:AlternateContent>
    <mc:AlternateContent xmlns:mc="http://schemas.openxmlformats.org/markup-compatibility/2006">
      <mc:Choice Requires="x14">
        <control shapeId="70759" r:id="rId33" name="Check Box 103">
          <controlPr defaultSize="0" autoFill="0" autoLine="0" autoPict="0">
            <anchor moveWithCells="1">
              <from>
                <xdr:col>3</xdr:col>
                <xdr:colOff>152400</xdr:colOff>
                <xdr:row>9</xdr:row>
                <xdr:rowOff>95250</xdr:rowOff>
              </from>
              <to>
                <xdr:col>3</xdr:col>
                <xdr:colOff>742950</xdr:colOff>
                <xdr:row>10</xdr:row>
                <xdr:rowOff>0</xdr:rowOff>
              </to>
            </anchor>
          </controlPr>
        </control>
      </mc:Choice>
    </mc:AlternateContent>
    <mc:AlternateContent xmlns:mc="http://schemas.openxmlformats.org/markup-compatibility/2006">
      <mc:Choice Requires="x14">
        <control shapeId="70760" r:id="rId34" name="Check Box 104">
          <controlPr defaultSize="0" autoFill="0" autoLine="0" autoPict="0">
            <anchor moveWithCells="1">
              <from>
                <xdr:col>1</xdr:col>
                <xdr:colOff>12700</xdr:colOff>
                <xdr:row>9</xdr:row>
                <xdr:rowOff>95250</xdr:rowOff>
              </from>
              <to>
                <xdr:col>1</xdr:col>
                <xdr:colOff>438150</xdr:colOff>
                <xdr:row>10</xdr:row>
                <xdr:rowOff>0</xdr:rowOff>
              </to>
            </anchor>
          </controlPr>
        </control>
      </mc:Choice>
    </mc:AlternateContent>
    <mc:AlternateContent xmlns:mc="http://schemas.openxmlformats.org/markup-compatibility/2006">
      <mc:Choice Requires="x14">
        <control shapeId="70761" r:id="rId35" name="Group Box 105">
          <controlPr defaultSize="0" autoFill="0" autoPict="0">
            <anchor moveWithCells="1">
              <from>
                <xdr:col>0</xdr:col>
                <xdr:colOff>50800</xdr:colOff>
                <xdr:row>96</xdr:row>
                <xdr:rowOff>0</xdr:rowOff>
              </from>
              <to>
                <xdr:col>4</xdr:col>
                <xdr:colOff>304800</xdr:colOff>
                <xdr:row>100</xdr:row>
                <xdr:rowOff>146050</xdr:rowOff>
              </to>
            </anchor>
          </controlPr>
        </control>
      </mc:Choice>
    </mc:AlternateContent>
    <mc:AlternateContent xmlns:mc="http://schemas.openxmlformats.org/markup-compatibility/2006">
      <mc:Choice Requires="x14">
        <control shapeId="70762" r:id="rId36" name="Option Button 106">
          <controlPr defaultSize="0" autoFill="0" autoLine="0" autoPict="0">
            <anchor moveWithCells="1">
              <from>
                <xdr:col>4</xdr:col>
                <xdr:colOff>419100</xdr:colOff>
                <xdr:row>103</xdr:row>
                <xdr:rowOff>0</xdr:rowOff>
              </from>
              <to>
                <xdr:col>5</xdr:col>
                <xdr:colOff>50800</xdr:colOff>
                <xdr:row>104</xdr:row>
                <xdr:rowOff>50800</xdr:rowOff>
              </to>
            </anchor>
          </controlPr>
        </control>
      </mc:Choice>
    </mc:AlternateContent>
    <mc:AlternateContent xmlns:mc="http://schemas.openxmlformats.org/markup-compatibility/2006">
      <mc:Choice Requires="x14">
        <control shapeId="70763" r:id="rId37" name="Option Button 107">
          <controlPr defaultSize="0" autoFill="0" autoLine="0" autoPict="0">
            <anchor moveWithCells="1">
              <from>
                <xdr:col>5</xdr:col>
                <xdr:colOff>571500</xdr:colOff>
                <xdr:row>103</xdr:row>
                <xdr:rowOff>12700</xdr:rowOff>
              </from>
              <to>
                <xdr:col>6</xdr:col>
                <xdr:colOff>0</xdr:colOff>
                <xdr:row>104</xdr:row>
                <xdr:rowOff>12700</xdr:rowOff>
              </to>
            </anchor>
          </controlPr>
        </control>
      </mc:Choice>
    </mc:AlternateContent>
    <mc:AlternateContent xmlns:mc="http://schemas.openxmlformats.org/markup-compatibility/2006">
      <mc:Choice Requires="x14">
        <control shapeId="70764" r:id="rId38" name="Group Box 108">
          <controlPr defaultSize="0" autoFill="0" autoPict="0">
            <anchor moveWithCells="1">
              <from>
                <xdr:col>4</xdr:col>
                <xdr:colOff>361950</xdr:colOff>
                <xdr:row>102</xdr:row>
                <xdr:rowOff>12700</xdr:rowOff>
              </from>
              <to>
                <xdr:col>6</xdr:col>
                <xdr:colOff>533400</xdr:colOff>
                <xdr:row>104</xdr:row>
                <xdr:rowOff>165100</xdr:rowOff>
              </to>
            </anchor>
          </controlPr>
        </control>
      </mc:Choice>
    </mc:AlternateContent>
    <mc:AlternateContent xmlns:mc="http://schemas.openxmlformats.org/markup-compatibility/2006">
      <mc:Choice Requires="x14">
        <control shapeId="70765" r:id="rId39" name="Group Box 109">
          <controlPr defaultSize="0" autoFill="0" autoPict="0">
            <anchor moveWithCells="1">
              <from>
                <xdr:col>0</xdr:col>
                <xdr:colOff>374650</xdr:colOff>
                <xdr:row>96</xdr:row>
                <xdr:rowOff>76200</xdr:rowOff>
              </from>
              <to>
                <xdr:col>4</xdr:col>
                <xdr:colOff>304800</xdr:colOff>
                <xdr:row>100</xdr:row>
                <xdr:rowOff>38100</xdr:rowOff>
              </to>
            </anchor>
          </controlPr>
        </control>
      </mc:Choice>
    </mc:AlternateContent>
    <mc:AlternateContent xmlns:mc="http://schemas.openxmlformats.org/markup-compatibility/2006">
      <mc:Choice Requires="x14">
        <control shapeId="70766" r:id="rId40" name="Option Button 110">
          <controlPr defaultSize="0" autoFill="0" autoLine="0" autoPict="0">
            <anchor moveWithCells="1">
              <from>
                <xdr:col>4</xdr:col>
                <xdr:colOff>419100</xdr:colOff>
                <xdr:row>106</xdr:row>
                <xdr:rowOff>0</xdr:rowOff>
              </from>
              <to>
                <xdr:col>5</xdr:col>
                <xdr:colOff>50800</xdr:colOff>
                <xdr:row>107</xdr:row>
                <xdr:rowOff>50800</xdr:rowOff>
              </to>
            </anchor>
          </controlPr>
        </control>
      </mc:Choice>
    </mc:AlternateContent>
    <mc:AlternateContent xmlns:mc="http://schemas.openxmlformats.org/markup-compatibility/2006">
      <mc:Choice Requires="x14">
        <control shapeId="70767" r:id="rId41" name="Option Button 111">
          <controlPr defaultSize="0" autoFill="0" autoLine="0" autoPict="0">
            <anchor moveWithCells="1">
              <from>
                <xdr:col>5</xdr:col>
                <xdr:colOff>571500</xdr:colOff>
                <xdr:row>106</xdr:row>
                <xdr:rowOff>12700</xdr:rowOff>
              </from>
              <to>
                <xdr:col>6</xdr:col>
                <xdr:colOff>0</xdr:colOff>
                <xdr:row>107</xdr:row>
                <xdr:rowOff>12700</xdr:rowOff>
              </to>
            </anchor>
          </controlPr>
        </control>
      </mc:Choice>
    </mc:AlternateContent>
    <mc:AlternateContent xmlns:mc="http://schemas.openxmlformats.org/markup-compatibility/2006">
      <mc:Choice Requires="x14">
        <control shapeId="70768" r:id="rId42" name="Group Box 112">
          <controlPr defaultSize="0" autoFill="0" autoPict="0">
            <anchor moveWithCells="1">
              <from>
                <xdr:col>4</xdr:col>
                <xdr:colOff>266700</xdr:colOff>
                <xdr:row>105</xdr:row>
                <xdr:rowOff>69850</xdr:rowOff>
              </from>
              <to>
                <xdr:col>6</xdr:col>
                <xdr:colOff>323850</xdr:colOff>
                <xdr:row>108</xdr:row>
                <xdr:rowOff>50800</xdr:rowOff>
              </to>
            </anchor>
          </controlPr>
        </control>
      </mc:Choice>
    </mc:AlternateContent>
  </control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O200"/>
  <sheetViews>
    <sheetView showGridLines="0" zoomScale="90" zoomScaleNormal="90" workbookViewId="0">
      <selection sqref="A1:J1"/>
    </sheetView>
  </sheetViews>
  <sheetFormatPr defaultColWidth="0" defaultRowHeight="14.5" customHeight="1" zeroHeight="1"/>
  <cols>
    <col min="1" max="1" width="14.54296875" style="38" customWidth="1"/>
    <col min="2" max="2" width="9.54296875" style="38" customWidth="1"/>
    <col min="3" max="3" width="11.54296875" style="38" customWidth="1"/>
    <col min="4" max="4" width="16.1796875" style="38" customWidth="1"/>
    <col min="5" max="5" width="10.54296875" style="38" customWidth="1"/>
    <col min="6" max="6" width="12" style="38" customWidth="1"/>
    <col min="7" max="7" width="11.54296875" style="38" customWidth="1"/>
    <col min="8" max="10" width="10.54296875" style="38" customWidth="1"/>
    <col min="11" max="11" width="19.54296875" style="38" customWidth="1"/>
    <col min="12" max="13" width="10.54296875" style="38" customWidth="1"/>
    <col min="14" max="14" width="9.1796875" style="38" customWidth="1"/>
    <col min="15" max="15" width="12.81640625" style="38" customWidth="1"/>
    <col min="16" max="16384" width="12.81640625" style="38" hidden="1"/>
  </cols>
  <sheetData>
    <row r="1" spans="1:15" ht="55" customHeight="1">
      <c r="A1" s="1410" t="str">
        <f>Development!$A$3&amp;" Residential Efficiency Program"</f>
        <v>2025 Residential Efficiency Program</v>
      </c>
      <c r="B1" s="1410"/>
      <c r="C1" s="1410"/>
      <c r="D1" s="1410"/>
      <c r="E1" s="1410"/>
      <c r="F1" s="1410"/>
      <c r="G1" s="1410"/>
      <c r="H1" s="1410"/>
      <c r="I1" s="1410"/>
      <c r="J1" s="1410"/>
      <c r="K1" s="6"/>
      <c r="L1" s="6"/>
      <c r="M1" s="6"/>
      <c r="N1" s="6"/>
      <c r="O1" s="6"/>
    </row>
    <row r="2" spans="1:15" ht="55" customHeight="1">
      <c r="A2" s="1418" t="s">
        <v>100</v>
      </c>
      <c r="B2" s="1418"/>
      <c r="C2" s="1418"/>
      <c r="D2" s="1418"/>
      <c r="E2" s="1418"/>
      <c r="F2" s="1418"/>
      <c r="G2" s="1418"/>
      <c r="H2" s="1418"/>
      <c r="I2" s="1418"/>
      <c r="J2" s="1418"/>
      <c r="K2" s="7"/>
      <c r="L2" s="7"/>
      <c r="M2" s="7"/>
      <c r="N2" s="7"/>
      <c r="O2" s="7"/>
    </row>
    <row r="3" spans="1:15" ht="23.5" thickBot="1">
      <c r="A3" s="23" t="s">
        <v>102</v>
      </c>
      <c r="B3" s="23"/>
      <c r="C3" s="23"/>
      <c r="D3" s="23"/>
      <c r="E3" s="23"/>
      <c r="F3" s="23"/>
      <c r="G3" s="23"/>
      <c r="H3" s="23"/>
      <c r="I3" s="23"/>
      <c r="J3" s="23"/>
      <c r="K3" s="23"/>
      <c r="L3" s="23"/>
      <c r="M3" s="23"/>
      <c r="N3" s="23"/>
      <c r="O3" s="23"/>
    </row>
    <row r="4" spans="1:15" ht="18.75" customHeight="1">
      <c r="A4" s="24"/>
      <c r="B4" s="24"/>
      <c r="C4" s="24"/>
      <c r="D4" s="24"/>
      <c r="E4" s="24"/>
      <c r="F4" s="24"/>
      <c r="G4" s="24"/>
      <c r="H4" s="24"/>
      <c r="I4" s="24"/>
      <c r="J4" s="24"/>
      <c r="K4" s="24"/>
      <c r="L4" s="24"/>
      <c r="M4" s="24"/>
      <c r="N4" s="24"/>
      <c r="O4" s="24"/>
    </row>
    <row r="5" spans="1:15" ht="18" customHeight="1">
      <c r="A5" s="19" t="s">
        <v>104</v>
      </c>
      <c r="B5" s="91" t="e">
        <f>#REF!</f>
        <v>#REF!</v>
      </c>
      <c r="C5" s="1433"/>
      <c r="D5" s="1433"/>
      <c r="E5" s="19"/>
      <c r="F5" s="19"/>
      <c r="G5" s="19" t="s">
        <v>57</v>
      </c>
      <c r="H5" s="1426" t="e">
        <f>IF(#REF!="","",#REF!)</f>
        <v>#REF!</v>
      </c>
      <c r="I5" s="1426"/>
      <c r="J5" s="15"/>
      <c r="K5" s="7"/>
      <c r="L5" s="7"/>
      <c r="M5" s="7"/>
      <c r="N5" s="7"/>
      <c r="O5" s="7"/>
    </row>
    <row r="6" spans="1:15" ht="18" customHeight="1">
      <c r="A6" s="19"/>
      <c r="B6" s="19"/>
      <c r="C6" s="19"/>
      <c r="D6" s="19"/>
      <c r="E6" s="19"/>
      <c r="F6" s="19"/>
      <c r="G6" s="19"/>
      <c r="H6" s="19"/>
      <c r="I6" s="15"/>
      <c r="J6" s="15"/>
      <c r="K6" s="7"/>
      <c r="L6" s="7"/>
      <c r="M6" s="7"/>
      <c r="N6" s="7"/>
      <c r="O6" s="7"/>
    </row>
    <row r="7" spans="1:15" ht="18" customHeight="1">
      <c r="B7" s="19"/>
      <c r="D7" s="19"/>
      <c r="E7" s="19"/>
      <c r="F7" s="19"/>
      <c r="G7" s="19" t="s">
        <v>103</v>
      </c>
      <c r="H7" s="1426" t="e">
        <f>IF(#REF!="","",#REF!)</f>
        <v>#REF!</v>
      </c>
      <c r="I7" s="1426"/>
      <c r="J7" s="15"/>
      <c r="K7" s="7"/>
      <c r="L7" s="7"/>
      <c r="M7" s="7"/>
      <c r="N7" s="7"/>
      <c r="O7" s="7"/>
    </row>
    <row r="8" spans="1:15" ht="23">
      <c r="A8" s="21" t="s">
        <v>101</v>
      </c>
      <c r="B8" s="20"/>
      <c r="C8" s="20"/>
      <c r="D8" s="20"/>
      <c r="E8" s="20"/>
      <c r="F8" s="20"/>
      <c r="G8" s="20"/>
      <c r="H8" s="20"/>
      <c r="I8" s="20"/>
      <c r="J8" s="20"/>
      <c r="K8" s="20"/>
      <c r="L8" s="20"/>
      <c r="M8" s="13"/>
      <c r="N8" s="20"/>
      <c r="O8" s="20"/>
    </row>
    <row r="9" spans="1:15" ht="30.5">
      <c r="A9" s="15"/>
      <c r="B9" s="65" t="s">
        <v>26</v>
      </c>
      <c r="C9" s="66"/>
      <c r="D9" s="65" t="s">
        <v>27</v>
      </c>
      <c r="E9" s="67"/>
      <c r="F9" s="15"/>
      <c r="G9" s="15"/>
      <c r="H9" s="15"/>
      <c r="I9" s="15"/>
      <c r="J9" s="15"/>
      <c r="K9" s="7"/>
      <c r="L9" s="7"/>
      <c r="M9" s="7"/>
      <c r="N9" s="7"/>
      <c r="O9" s="7"/>
    </row>
    <row r="10" spans="1:15" ht="24" customHeight="1">
      <c r="A10" s="7"/>
      <c r="B10" s="22"/>
      <c r="C10" s="22"/>
      <c r="D10" s="22"/>
      <c r="E10" s="22"/>
      <c r="G10" s="17"/>
      <c r="H10" s="17"/>
      <c r="J10" s="7"/>
      <c r="K10" s="7"/>
      <c r="L10" s="7"/>
      <c r="M10" s="7"/>
      <c r="N10" s="7"/>
      <c r="O10" s="7"/>
    </row>
    <row r="11" spans="1:15" ht="23.5" thickBot="1">
      <c r="A11" s="18" t="s">
        <v>48</v>
      </c>
      <c r="B11" s="18"/>
      <c r="C11" s="18"/>
      <c r="D11" s="18"/>
      <c r="E11" s="18"/>
      <c r="F11" s="18"/>
      <c r="G11" s="18"/>
      <c r="H11" s="18"/>
      <c r="I11" s="18"/>
      <c r="J11" s="18"/>
      <c r="K11" s="18"/>
      <c r="L11" s="18"/>
      <c r="M11" s="18"/>
      <c r="N11" s="18"/>
      <c r="O11" s="18"/>
    </row>
    <row r="12" spans="1:15" ht="6.75" customHeight="1">
      <c r="A12" s="4"/>
      <c r="B12" s="5"/>
      <c r="C12" s="5"/>
      <c r="D12" s="5"/>
      <c r="E12" s="5"/>
      <c r="F12" s="5"/>
      <c r="G12" s="5"/>
      <c r="H12" s="5"/>
      <c r="I12" s="5"/>
      <c r="J12" s="5"/>
      <c r="K12" s="5"/>
      <c r="L12" s="5"/>
      <c r="M12" s="5"/>
      <c r="N12" s="5"/>
      <c r="O12" s="5"/>
    </row>
    <row r="13" spans="1:15" ht="27.75" customHeight="1">
      <c r="A13" s="146" t="s">
        <v>299</v>
      </c>
      <c r="B13" s="5"/>
      <c r="C13" s="5"/>
      <c r="D13" s="5"/>
      <c r="E13" s="5"/>
      <c r="F13" s="5"/>
      <c r="G13" s="5"/>
      <c r="H13" s="5"/>
      <c r="I13" s="5"/>
      <c r="J13" s="5"/>
      <c r="K13" s="5"/>
      <c r="L13" s="5"/>
      <c r="M13" s="5"/>
      <c r="N13" s="5"/>
      <c r="O13" s="5"/>
    </row>
    <row r="14" spans="1:15" ht="27.75" customHeight="1">
      <c r="A14" s="4"/>
      <c r="B14" s="5"/>
      <c r="C14" s="5"/>
      <c r="D14" s="5"/>
      <c r="E14" s="5"/>
      <c r="F14" s="5"/>
      <c r="G14" s="5"/>
      <c r="H14" s="5"/>
      <c r="I14" s="5"/>
      <c r="J14" s="5"/>
      <c r="K14" s="5"/>
      <c r="L14" s="5"/>
      <c r="M14" s="5"/>
      <c r="N14" s="5"/>
      <c r="O14" s="5"/>
    </row>
    <row r="15" spans="1:15" ht="33.65" customHeight="1">
      <c r="A15" s="38" t="s">
        <v>334</v>
      </c>
      <c r="E15" s="1211"/>
      <c r="F15" s="1211"/>
      <c r="G15" s="38" t="str">
        <f>IF(OR(E15=""),"",'Air Flow References'!AJ4)</f>
        <v/>
      </c>
      <c r="L15" s="39" t="s">
        <v>335</v>
      </c>
      <c r="M15" s="1403"/>
      <c r="N15" s="1403"/>
      <c r="O15" s="38" t="str">
        <f>IF(OR(M15=""),"",'Air Flow References'!AJ6)</f>
        <v/>
      </c>
    </row>
    <row r="16" spans="1:15" ht="33.65" customHeight="1">
      <c r="E16" s="143"/>
      <c r="F16" s="143"/>
      <c r="L16" s="39"/>
      <c r="M16" s="140"/>
      <c r="N16" s="140"/>
    </row>
    <row r="17" spans="1:15" ht="33.65" customHeight="1">
      <c r="A17" s="125" t="s">
        <v>351</v>
      </c>
    </row>
    <row r="18" spans="1:15" ht="33.75" customHeight="1">
      <c r="A18" s="1354" t="s">
        <v>336</v>
      </c>
      <c r="B18" s="1354"/>
      <c r="C18" s="1354"/>
      <c r="D18" s="1354"/>
      <c r="E18" s="1404"/>
      <c r="F18" s="1404"/>
      <c r="G18" s="38" t="str">
        <f>IF(OR(E18=""),"",'Air Flow References'!AJ5)</f>
        <v/>
      </c>
      <c r="H18" s="41"/>
      <c r="I18" s="41" t="s">
        <v>296</v>
      </c>
      <c r="L18" s="39" t="s">
        <v>337</v>
      </c>
      <c r="M18" s="1211"/>
      <c r="N18" s="1211"/>
      <c r="O18" s="38" t="str">
        <f>IF(OR(M18=""),"",'Air Flow References'!AJ7)</f>
        <v/>
      </c>
    </row>
    <row r="19" spans="1:15" ht="33.65" customHeight="1"/>
    <row r="20" spans="1:15" ht="33.65" customHeight="1">
      <c r="A20" s="38" t="s">
        <v>340</v>
      </c>
    </row>
    <row r="21" spans="1:15" ht="33.65" customHeight="1"/>
    <row r="22" spans="1:15" ht="33.65" customHeight="1">
      <c r="A22" s="38" t="s">
        <v>341</v>
      </c>
      <c r="E22" s="1403"/>
      <c r="F22" s="1403"/>
      <c r="G22" s="38" t="str">
        <f>IF(OR(E22=""),"",'Air Flow References'!AJ9)</f>
        <v/>
      </c>
      <c r="H22" s="68"/>
      <c r="I22" s="68"/>
      <c r="J22" s="68"/>
      <c r="K22" s="68"/>
    </row>
    <row r="23" spans="1:15" ht="33.65" customHeight="1">
      <c r="A23" s="137" t="s">
        <v>353</v>
      </c>
      <c r="E23" s="140"/>
      <c r="F23" s="140"/>
    </row>
    <row r="24" spans="1:15" ht="33.65" customHeight="1">
      <c r="E24" s="140"/>
      <c r="F24" s="140"/>
    </row>
    <row r="25" spans="1:15" ht="33.65" customHeight="1">
      <c r="A25" s="38" t="s">
        <v>342</v>
      </c>
      <c r="E25" s="1403"/>
      <c r="F25" s="1403"/>
      <c r="G25" s="38" t="str">
        <f>IF(OR(E25=""),"",'Air Flow References'!AJ8)</f>
        <v/>
      </c>
    </row>
    <row r="26" spans="1:15" ht="33.65" customHeight="1">
      <c r="A26" s="137" t="s">
        <v>354</v>
      </c>
    </row>
    <row r="27" spans="1:15" ht="33.65" customHeight="1"/>
    <row r="28" spans="1:15" ht="33.65" customHeight="1"/>
    <row r="29" spans="1:15">
      <c r="A29" s="1354" t="s">
        <v>44</v>
      </c>
      <c r="B29" s="1354"/>
      <c r="C29" s="1354"/>
      <c r="D29" s="1354"/>
      <c r="E29" s="1354"/>
      <c r="F29" s="1354"/>
      <c r="G29" s="1354"/>
      <c r="H29" s="1354"/>
      <c r="I29" s="1354"/>
      <c r="J29" s="1354"/>
      <c r="K29" s="1354"/>
      <c r="L29" s="1354"/>
      <c r="M29" s="1354"/>
    </row>
    <row r="30" spans="1:15" ht="33.65" customHeight="1">
      <c r="A30" s="38" t="s">
        <v>45</v>
      </c>
      <c r="C30" s="1409"/>
      <c r="D30" s="1409"/>
      <c r="E30" s="1409"/>
      <c r="F30" s="1409"/>
      <c r="G30" s="1409"/>
      <c r="H30" s="1409"/>
      <c r="I30" s="1409"/>
      <c r="J30" s="1409"/>
      <c r="K30" s="1409"/>
      <c r="L30" s="1409"/>
    </row>
    <row r="31" spans="1:15"/>
    <row r="32" spans="1:15">
      <c r="A32" s="41" t="s">
        <v>47</v>
      </c>
    </row>
    <row r="33" spans="1:15">
      <c r="A33" s="38" t="s">
        <v>1514</v>
      </c>
    </row>
    <row r="34" spans="1:15">
      <c r="A34" s="38" t="s">
        <v>46</v>
      </c>
    </row>
    <row r="35" spans="1:15"/>
    <row r="36" spans="1:15" ht="23.5" thickBot="1">
      <c r="A36" s="18" t="s">
        <v>178</v>
      </c>
      <c r="B36" s="18"/>
      <c r="C36" s="18"/>
      <c r="D36" s="18"/>
      <c r="E36" s="18"/>
      <c r="F36" s="18"/>
      <c r="G36" s="18"/>
      <c r="H36" s="18"/>
      <c r="I36" s="18"/>
      <c r="J36" s="18"/>
      <c r="K36" s="18"/>
      <c r="L36" s="18"/>
      <c r="M36" s="18"/>
      <c r="N36" s="18"/>
      <c r="O36" s="18"/>
    </row>
    <row r="37" spans="1:15" ht="23">
      <c r="A37" s="4"/>
      <c r="B37" s="4"/>
      <c r="C37" s="4"/>
      <c r="D37" s="4"/>
      <c r="E37" s="4"/>
      <c r="F37" s="4"/>
      <c r="G37" s="4"/>
      <c r="H37" s="4"/>
      <c r="I37" s="4"/>
      <c r="J37" s="4"/>
      <c r="K37" s="4"/>
      <c r="L37" s="4"/>
      <c r="M37" s="4"/>
      <c r="N37" s="4"/>
      <c r="O37" s="4"/>
    </row>
    <row r="38" spans="1:15" ht="23">
      <c r="A38" s="3" t="s">
        <v>73</v>
      </c>
      <c r="B38" s="4"/>
      <c r="C38" s="4"/>
      <c r="D38" s="4"/>
      <c r="E38" s="4"/>
      <c r="F38" s="4"/>
      <c r="G38" s="4"/>
      <c r="H38" s="4"/>
      <c r="I38" s="1424"/>
      <c r="J38" s="1424"/>
      <c r="K38" s="4"/>
      <c r="L38" s="4"/>
      <c r="M38" s="4"/>
    </row>
    <row r="39" spans="1:15" ht="23">
      <c r="A39" s="4"/>
      <c r="B39" s="4"/>
      <c r="C39" s="4"/>
      <c r="D39" s="4"/>
      <c r="E39" s="4"/>
      <c r="F39" s="4"/>
      <c r="G39" s="4"/>
      <c r="H39" s="4"/>
      <c r="I39" s="4"/>
      <c r="J39" s="4"/>
      <c r="K39" s="4"/>
      <c r="L39" s="4"/>
      <c r="M39" s="4"/>
      <c r="N39" s="4"/>
      <c r="O39" s="4"/>
    </row>
    <row r="40" spans="1:15">
      <c r="A40" s="42" t="s">
        <v>164</v>
      </c>
      <c r="B40" s="42"/>
      <c r="C40" s="42"/>
      <c r="D40" s="42"/>
      <c r="E40" s="42"/>
      <c r="F40" s="42"/>
      <c r="G40" s="42"/>
      <c r="H40" s="42"/>
      <c r="I40" s="42"/>
      <c r="J40" s="42"/>
      <c r="K40" s="42"/>
      <c r="L40" s="42"/>
      <c r="M40" s="42"/>
      <c r="N40" s="42"/>
      <c r="O40" s="42"/>
    </row>
    <row r="41" spans="1:15">
      <c r="A41" s="43"/>
      <c r="B41" s="44"/>
      <c r="C41" s="44"/>
      <c r="D41" s="44"/>
      <c r="E41" s="44"/>
      <c r="F41" s="44"/>
      <c r="G41" s="44"/>
      <c r="H41" s="44"/>
      <c r="I41" s="44"/>
      <c r="J41" s="44"/>
      <c r="K41" s="44"/>
      <c r="L41" s="44"/>
      <c r="M41" s="44"/>
      <c r="N41" s="44"/>
    </row>
    <row r="42" spans="1:15">
      <c r="A42" s="48" t="s">
        <v>71</v>
      </c>
    </row>
    <row r="43" spans="1:15">
      <c r="A43" s="45" t="s">
        <v>72</v>
      </c>
    </row>
    <row r="44" spans="1:15">
      <c r="A44" s="45"/>
    </row>
    <row r="45" spans="1:15">
      <c r="A45" s="45"/>
      <c r="E45" s="1417"/>
      <c r="F45" s="1417"/>
    </row>
    <row r="46" spans="1:15">
      <c r="A46" s="45"/>
    </row>
    <row r="47" spans="1:15">
      <c r="A47" s="45"/>
    </row>
    <row r="48" spans="1:15">
      <c r="A48" s="45"/>
    </row>
    <row r="49" spans="1:7">
      <c r="A49" s="45"/>
      <c r="B49" s="38" t="s">
        <v>86</v>
      </c>
      <c r="E49" s="90"/>
      <c r="F49" s="38" t="s">
        <v>77</v>
      </c>
      <c r="G49" s="38" t="str">
        <f>IF(OR(E49=""),"",'Air Flow References'!AJ16)</f>
        <v/>
      </c>
    </row>
    <row r="50" spans="1:7">
      <c r="A50" s="45"/>
    </row>
    <row r="51" spans="1:7">
      <c r="A51" s="45"/>
      <c r="B51" s="38" t="s">
        <v>87</v>
      </c>
      <c r="E51" s="90"/>
      <c r="F51" s="50" t="s">
        <v>77</v>
      </c>
      <c r="G51" s="38" t="str">
        <f>IF(OR(E51=""),"",'Air Flow References'!AJ17)</f>
        <v/>
      </c>
    </row>
    <row r="52" spans="1:7">
      <c r="A52" s="45"/>
    </row>
    <row r="53" spans="1:7">
      <c r="A53" s="48" t="s">
        <v>78</v>
      </c>
    </row>
    <row r="54" spans="1:7">
      <c r="A54" s="48"/>
    </row>
    <row r="55" spans="1:7">
      <c r="A55" s="45" t="s">
        <v>88</v>
      </c>
      <c r="E55" s="90"/>
      <c r="F55" s="38" t="s">
        <v>82</v>
      </c>
      <c r="G55" s="38" t="str">
        <f>IF(OR(E55=""),"",'Air Flow References'!AJ18)</f>
        <v/>
      </c>
    </row>
    <row r="56" spans="1:7">
      <c r="A56" s="45"/>
    </row>
    <row r="57" spans="1:7">
      <c r="A57" s="45" t="s">
        <v>89</v>
      </c>
      <c r="E57" s="90"/>
      <c r="F57" s="38" t="s">
        <v>77</v>
      </c>
      <c r="G57" s="38" t="str">
        <f>IF(OR(E57=""),"",'Air Flow References'!AJ19)</f>
        <v/>
      </c>
    </row>
    <row r="58" spans="1:7">
      <c r="A58" s="45"/>
    </row>
    <row r="59" spans="1:7">
      <c r="A59" s="45" t="s">
        <v>90</v>
      </c>
      <c r="E59" s="90"/>
      <c r="F59" s="38" t="s">
        <v>77</v>
      </c>
      <c r="G59" s="38" t="str">
        <f>IF(OR(E59=""),"",'Air Flow References'!AJ20)</f>
        <v/>
      </c>
    </row>
    <row r="60" spans="1:7">
      <c r="A60" s="45"/>
    </row>
    <row r="61" spans="1:7">
      <c r="A61" s="45" t="s">
        <v>91</v>
      </c>
      <c r="E61" s="92" t="str">
        <f>IF(OR(E57="",E59=""),"",E57-E59)</f>
        <v/>
      </c>
      <c r="F61" s="38" t="s">
        <v>77</v>
      </c>
      <c r="G61" s="38" t="str">
        <f>'Air Flow References'!AJ21</f>
        <v/>
      </c>
    </row>
    <row r="62" spans="1:7">
      <c r="A62" s="45"/>
    </row>
    <row r="63" spans="1:7">
      <c r="A63" s="51" t="s">
        <v>92</v>
      </c>
    </row>
    <row r="64" spans="1:7">
      <c r="A64" s="45"/>
    </row>
    <row r="65" spans="1:15">
      <c r="A65" s="52" t="s">
        <v>93</v>
      </c>
      <c r="B65" s="53"/>
      <c r="C65" s="53"/>
      <c r="D65" s="53"/>
      <c r="E65" s="53"/>
      <c r="F65" s="53"/>
      <c r="G65" s="53"/>
      <c r="H65" s="53"/>
      <c r="I65" s="53"/>
      <c r="J65" s="53"/>
      <c r="K65" s="53"/>
      <c r="L65" s="53"/>
      <c r="M65" s="53"/>
      <c r="N65" s="53"/>
    </row>
    <row r="66" spans="1:15">
      <c r="A66" s="42" t="s">
        <v>199</v>
      </c>
      <c r="B66" s="42"/>
      <c r="C66" s="42"/>
      <c r="D66" s="42"/>
      <c r="E66" s="42"/>
      <c r="F66" s="42"/>
      <c r="G66" s="42"/>
      <c r="H66" s="42"/>
      <c r="I66" s="42"/>
      <c r="J66" s="42"/>
      <c r="K66" s="42"/>
      <c r="L66" s="42"/>
      <c r="M66" s="42"/>
      <c r="N66" s="42"/>
      <c r="O66" s="42"/>
    </row>
    <row r="67" spans="1:15">
      <c r="A67" s="43"/>
      <c r="B67" s="44"/>
      <c r="C67" s="44"/>
      <c r="D67" s="44"/>
      <c r="E67" s="44"/>
      <c r="F67" s="44"/>
      <c r="G67" s="44"/>
      <c r="H67" s="44"/>
      <c r="I67" s="44"/>
      <c r="J67" s="44"/>
      <c r="K67" s="44"/>
      <c r="L67" s="44"/>
      <c r="M67" s="44"/>
      <c r="N67" s="44"/>
    </row>
    <row r="68" spans="1:15">
      <c r="A68" s="48" t="s">
        <v>71</v>
      </c>
    </row>
    <row r="69" spans="1:15">
      <c r="A69" s="45" t="s">
        <v>72</v>
      </c>
    </row>
    <row r="70" spans="1:15">
      <c r="A70" s="45"/>
    </row>
    <row r="71" spans="1:15">
      <c r="A71" s="45"/>
      <c r="E71" s="1417"/>
      <c r="F71" s="1417"/>
    </row>
    <row r="72" spans="1:15">
      <c r="A72" s="45"/>
    </row>
    <row r="73" spans="1:15">
      <c r="A73" s="45"/>
    </row>
    <row r="74" spans="1:15">
      <c r="A74" s="45"/>
      <c r="B74" s="38" t="s">
        <v>74</v>
      </c>
      <c r="E74" s="90"/>
      <c r="F74" s="38" t="s">
        <v>298</v>
      </c>
      <c r="G74" s="148" t="str">
        <f>IF(OR(E74=""),"",'Air Flow References'!AJ28)</f>
        <v/>
      </c>
    </row>
    <row r="75" spans="1:15">
      <c r="A75" s="45"/>
      <c r="B75" s="38" t="s">
        <v>297</v>
      </c>
      <c r="E75" s="143"/>
      <c r="G75" s="49"/>
    </row>
    <row r="76" spans="1:15">
      <c r="A76" s="45"/>
    </row>
    <row r="77" spans="1:15">
      <c r="A77" s="45"/>
      <c r="B77" s="38" t="s">
        <v>75</v>
      </c>
      <c r="E77" s="90"/>
      <c r="F77" s="38" t="s">
        <v>77</v>
      </c>
      <c r="G77" s="38" t="str">
        <f>IF(OR(E77=""),"",'Air Flow References'!AJ29)</f>
        <v/>
      </c>
    </row>
    <row r="78" spans="1:15">
      <c r="A78" s="45"/>
    </row>
    <row r="79" spans="1:15">
      <c r="A79" s="45"/>
      <c r="B79" s="38" t="s">
        <v>76</v>
      </c>
      <c r="E79" s="90"/>
      <c r="F79" s="50" t="s">
        <v>77</v>
      </c>
      <c r="G79" s="38" t="str">
        <f>IF(OR(E79=""),"",'Air Flow References'!AJ30)</f>
        <v/>
      </c>
    </row>
    <row r="80" spans="1:15">
      <c r="A80" s="45"/>
    </row>
    <row r="81" spans="1:15">
      <c r="A81" s="45"/>
    </row>
    <row r="82" spans="1:15">
      <c r="A82" s="48" t="s">
        <v>78</v>
      </c>
    </row>
    <row r="83" spans="1:15">
      <c r="A83" s="45"/>
    </row>
    <row r="84" spans="1:15">
      <c r="A84" s="45" t="s">
        <v>79</v>
      </c>
      <c r="E84" s="90"/>
      <c r="F84" s="38" t="s">
        <v>82</v>
      </c>
      <c r="G84" s="38" t="str">
        <f>IF(OR(E84=""),"",'Air Flow References'!AJ31)</f>
        <v/>
      </c>
    </row>
    <row r="85" spans="1:15">
      <c r="A85" s="45"/>
    </row>
    <row r="86" spans="1:15">
      <c r="A86" s="45" t="s">
        <v>80</v>
      </c>
      <c r="E86" s="90"/>
      <c r="F86" s="50" t="s">
        <v>77</v>
      </c>
      <c r="G86" s="38" t="str">
        <f>IF(OR(E86=""),"",'Air Flow References'!AJ32)</f>
        <v/>
      </c>
    </row>
    <row r="87" spans="1:15">
      <c r="A87" s="45"/>
    </row>
    <row r="88" spans="1:15">
      <c r="A88" s="45" t="s">
        <v>81</v>
      </c>
      <c r="E88" s="90"/>
      <c r="F88" s="50" t="s">
        <v>77</v>
      </c>
      <c r="G88" s="38" t="str">
        <f>IF(OR(E88=""),"",'Air Flow References'!AJ33)</f>
        <v/>
      </c>
    </row>
    <row r="89" spans="1:15">
      <c r="A89" s="45"/>
    </row>
    <row r="90" spans="1:15">
      <c r="A90" s="45" t="s">
        <v>83</v>
      </c>
      <c r="E90" s="92" t="str">
        <f>IF(OR(E86="",E88=""),"",E88-E86)</f>
        <v/>
      </c>
      <c r="F90" s="50" t="s">
        <v>77</v>
      </c>
      <c r="G90" s="38" t="str">
        <f>'Air Flow References'!AJ34</f>
        <v/>
      </c>
    </row>
    <row r="91" spans="1:15">
      <c r="A91" s="45"/>
    </row>
    <row r="92" spans="1:15">
      <c r="A92" s="51" t="s">
        <v>84</v>
      </c>
    </row>
    <row r="93" spans="1:15">
      <c r="A93" s="45"/>
    </row>
    <row r="94" spans="1:15">
      <c r="A94" s="41" t="s">
        <v>85</v>
      </c>
    </row>
    <row r="95" spans="1:15">
      <c r="A95" s="42" t="s">
        <v>575</v>
      </c>
      <c r="B95" s="42"/>
      <c r="C95" s="42"/>
      <c r="D95" s="42"/>
      <c r="E95" s="42"/>
      <c r="F95" s="42"/>
      <c r="G95" s="42"/>
      <c r="H95" s="42"/>
      <c r="I95" s="42"/>
      <c r="J95" s="42"/>
      <c r="K95" s="42"/>
      <c r="L95" s="42"/>
      <c r="M95" s="42"/>
      <c r="N95" s="42"/>
      <c r="O95" s="42"/>
    </row>
    <row r="96" spans="1:15">
      <c r="A96" s="43"/>
      <c r="B96" s="44"/>
      <c r="C96" s="44"/>
      <c r="D96" s="44"/>
      <c r="E96" s="44"/>
      <c r="F96" s="44"/>
      <c r="G96" s="44"/>
      <c r="H96" s="44"/>
      <c r="I96" s="44"/>
      <c r="J96" s="44"/>
      <c r="K96" s="44"/>
      <c r="L96" s="44"/>
      <c r="M96" s="44"/>
      <c r="N96" s="44"/>
    </row>
    <row r="97" spans="1:14">
      <c r="A97" s="45" t="s">
        <v>49</v>
      </c>
    </row>
    <row r="98" spans="1:14" ht="9.75" customHeight="1">
      <c r="A98" s="45"/>
    </row>
    <row r="99" spans="1:14" ht="15.75" customHeight="1">
      <c r="A99" s="45"/>
      <c r="E99" s="1211"/>
      <c r="F99" s="1211"/>
      <c r="G99" s="38" t="s">
        <v>50</v>
      </c>
    </row>
    <row r="100" spans="1:14">
      <c r="A100" s="1397" t="s">
        <v>1432</v>
      </c>
      <c r="B100" s="1124"/>
    </row>
    <row r="101" spans="1:14">
      <c r="A101" s="1397"/>
      <c r="B101" s="1124"/>
      <c r="C101" s="463"/>
      <c r="D101" s="38" t="s">
        <v>1515</v>
      </c>
      <c r="E101" s="463"/>
      <c r="F101" s="38" t="s">
        <v>1516</v>
      </c>
    </row>
    <row r="102" spans="1:14">
      <c r="A102" s="45"/>
    </row>
    <row r="103" spans="1:14">
      <c r="A103" s="45"/>
    </row>
    <row r="104" spans="1:14">
      <c r="A104" s="45" t="s">
        <v>1517</v>
      </c>
      <c r="E104" s="295"/>
    </row>
    <row r="105" spans="1:14">
      <c r="A105" s="45"/>
    </row>
    <row r="106" spans="1:14">
      <c r="A106" s="45"/>
    </row>
    <row r="107" spans="1:14">
      <c r="A107" s="45" t="s">
        <v>59</v>
      </c>
      <c r="E107" s="295"/>
    </row>
    <row r="108" spans="1:14">
      <c r="A108" s="45"/>
    </row>
    <row r="109" spans="1:14">
      <c r="A109" s="45"/>
    </row>
    <row r="110" spans="1:14">
      <c r="A110" s="45" t="s">
        <v>1433</v>
      </c>
      <c r="C110" s="463"/>
      <c r="D110" s="38" t="s">
        <v>60</v>
      </c>
    </row>
    <row r="111" spans="1:14">
      <c r="A111" s="45"/>
    </row>
    <row r="112" spans="1:14">
      <c r="A112" s="45" t="s">
        <v>61</v>
      </c>
      <c r="D112" s="504"/>
      <c r="E112" s="38" t="s">
        <v>62</v>
      </c>
      <c r="F112" s="38" t="s">
        <v>63</v>
      </c>
      <c r="G112" s="460"/>
      <c r="H112" s="38" t="s">
        <v>60</v>
      </c>
      <c r="I112" s="38" t="s">
        <v>64</v>
      </c>
      <c r="J112" s="434"/>
      <c r="K112" s="38" t="s">
        <v>65</v>
      </c>
      <c r="L112" s="46" t="s">
        <v>66</v>
      </c>
      <c r="M112" s="460"/>
      <c r="N112" s="38" t="s">
        <v>67</v>
      </c>
    </row>
    <row r="113" spans="1:15">
      <c r="A113" s="45"/>
      <c r="L113" s="46"/>
    </row>
    <row r="114" spans="1:15">
      <c r="A114" s="45" t="s">
        <v>142</v>
      </c>
      <c r="D114" s="504"/>
      <c r="E114" s="38" t="s">
        <v>62</v>
      </c>
      <c r="F114" s="38" t="s">
        <v>63</v>
      </c>
      <c r="G114" s="460"/>
      <c r="H114" s="38" t="s">
        <v>60</v>
      </c>
      <c r="I114" s="38" t="s">
        <v>64</v>
      </c>
      <c r="J114" s="434"/>
      <c r="K114" s="38" t="s">
        <v>65</v>
      </c>
      <c r="L114" s="46" t="s">
        <v>66</v>
      </c>
      <c r="M114" s="460"/>
      <c r="N114" s="38" t="s">
        <v>67</v>
      </c>
    </row>
    <row r="115" spans="1:15">
      <c r="A115" s="45"/>
    </row>
    <row r="116" spans="1:15">
      <c r="A116" s="47" t="s">
        <v>190</v>
      </c>
      <c r="M116" s="460"/>
      <c r="N116" s="38" t="s">
        <v>67</v>
      </c>
    </row>
    <row r="117" spans="1:15">
      <c r="A117" s="45"/>
    </row>
    <row r="118" spans="1:15">
      <c r="A118" s="1401" t="s">
        <v>68</v>
      </c>
      <c r="B118" s="1399"/>
      <c r="C118" s="1399"/>
      <c r="D118" s="1399"/>
      <c r="E118" s="1402"/>
      <c r="F118" s="1398" t="s">
        <v>69</v>
      </c>
      <c r="G118" s="1398"/>
      <c r="H118" s="1398"/>
      <c r="I118" s="1398"/>
      <c r="J118" s="1398"/>
      <c r="K118" s="1398"/>
      <c r="L118" s="139"/>
      <c r="M118" s="1413" t="str">
        <f>IF(AND(M112="",M114="",M116=""),"",M112+M114+M116)</f>
        <v/>
      </c>
      <c r="N118" s="1399" t="s">
        <v>67</v>
      </c>
    </row>
    <row r="119" spans="1:15">
      <c r="A119" s="1401"/>
      <c r="B119" s="1399"/>
      <c r="C119" s="1399"/>
      <c r="D119" s="1399"/>
      <c r="E119" s="1402"/>
      <c r="F119" s="1398"/>
      <c r="G119" s="1398"/>
      <c r="H119" s="1398"/>
      <c r="I119" s="1398"/>
      <c r="J119" s="1398"/>
      <c r="K119" s="1398"/>
      <c r="L119" s="139"/>
      <c r="M119" s="1414"/>
      <c r="N119" s="1399"/>
    </row>
    <row r="120" spans="1:15">
      <c r="A120" s="45"/>
    </row>
    <row r="121" spans="1:15">
      <c r="A121" s="41" t="s">
        <v>70</v>
      </c>
    </row>
    <row r="122" spans="1:15"/>
    <row r="123" spans="1:15"/>
    <row r="124" spans="1:15"/>
    <row r="125" spans="1:15"/>
    <row r="126" spans="1:15">
      <c r="A126" s="57" t="s">
        <v>165</v>
      </c>
      <c r="B126" s="61"/>
      <c r="C126" s="58" t="str">
        <f>Development!$A$4&amp;"_"&amp;Development!$A$2</f>
        <v>01.01.2025_1.0</v>
      </c>
      <c r="D126" s="1415"/>
      <c r="E126" s="1415"/>
      <c r="F126" s="1415"/>
      <c r="G126" s="1416"/>
      <c r="H126" s="1416"/>
      <c r="I126" s="1416"/>
      <c r="J126" s="44"/>
      <c r="K126" s="44"/>
      <c r="L126" s="44"/>
      <c r="M126" s="44"/>
      <c r="N126" s="60" t="s">
        <v>167</v>
      </c>
      <c r="O126" s="59" t="str">
        <f>Development!$A$4</f>
        <v>01.01.2025</v>
      </c>
    </row>
    <row r="127" spans="1:15"/>
    <row r="128" spans="1:15"/>
    <row r="129"/>
    <row r="130"/>
    <row r="131"/>
    <row r="132"/>
    <row r="133"/>
    <row r="134"/>
    <row r="135"/>
    <row r="136"/>
    <row r="137"/>
    <row r="138"/>
    <row r="139"/>
    <row r="140"/>
    <row r="141"/>
    <row r="142"/>
    <row r="143"/>
    <row r="144"/>
    <row r="145" spans="15:15"/>
    <row r="146" spans="15:15">
      <c r="O146" s="54"/>
    </row>
    <row r="158" spans="15:15"/>
    <row r="159" spans="15:15"/>
    <row r="160" spans="15:15"/>
    <row r="161"/>
    <row r="162"/>
    <row r="163"/>
    <row r="164"/>
    <row r="165"/>
    <row r="166"/>
    <row r="167"/>
    <row r="168"/>
    <row r="169" ht="14.5" customHeight="1"/>
    <row r="170" ht="14.5" customHeight="1"/>
    <row r="171" ht="14.5" customHeight="1"/>
    <row r="172" ht="14.5" customHeight="1"/>
    <row r="173" ht="14.5" customHeight="1"/>
    <row r="174" ht="14.5" customHeight="1"/>
    <row r="175" ht="14.5" customHeight="1"/>
    <row r="176" ht="14.5" customHeight="1"/>
    <row r="177" ht="14.5" customHeight="1"/>
    <row r="178" ht="14.5" customHeight="1"/>
    <row r="179" ht="14.5" customHeight="1"/>
    <row r="180" ht="14.5" customHeight="1"/>
    <row r="181" ht="14.5" customHeight="1"/>
    <row r="182" ht="14.5" customHeight="1"/>
    <row r="183" ht="14.5" customHeight="1"/>
    <row r="184" ht="14.5" customHeight="1"/>
    <row r="185" ht="14.5" customHeight="1"/>
    <row r="186" ht="14.5" customHeight="1"/>
    <row r="187" ht="14.5" customHeight="1"/>
    <row r="188" ht="14.5" customHeight="1"/>
    <row r="189" ht="14.5" customHeight="1"/>
    <row r="190" ht="14.5" customHeight="1"/>
    <row r="191" ht="14.5" customHeight="1"/>
    <row r="192" ht="14.5" customHeight="1"/>
    <row r="193" ht="14.5" customHeight="1"/>
    <row r="194" ht="14.5" customHeight="1"/>
    <row r="195" ht="14.5" customHeight="1"/>
    <row r="196" ht="14.5" customHeight="1"/>
    <row r="197" ht="14.5" customHeight="1"/>
    <row r="198" ht="14.5" customHeight="1"/>
    <row r="199" ht="14.5" customHeight="1"/>
    <row r="200" ht="14.5" customHeight="1"/>
  </sheetData>
  <sheetProtection algorithmName="SHA-512" hashValue="GhLFN65+Z7yrBul1bP/qhniy6lvAInakSLQIA3fasNIhBMGMqsijNboYpTNO5hBRoER+KO8GwhnY9Z2Gp9trUQ==" saltValue="pSlD6fnNYc17otslflf79w==" spinCount="100000" sheet="1" objects="1" scenarios="1"/>
  <dataConsolidate/>
  <mergeCells count="25">
    <mergeCell ref="M118:M119"/>
    <mergeCell ref="N118:N119"/>
    <mergeCell ref="E71:F71"/>
    <mergeCell ref="D126:F126"/>
    <mergeCell ref="G126:I126"/>
    <mergeCell ref="E99:F99"/>
    <mergeCell ref="A118:E119"/>
    <mergeCell ref="F118:K119"/>
    <mergeCell ref="A100:B101"/>
    <mergeCell ref="E22:F22"/>
    <mergeCell ref="A29:M29"/>
    <mergeCell ref="C30:L30"/>
    <mergeCell ref="I38:J38"/>
    <mergeCell ref="E45:F45"/>
    <mergeCell ref="E25:F25"/>
    <mergeCell ref="E15:F15"/>
    <mergeCell ref="M15:N15"/>
    <mergeCell ref="A18:D18"/>
    <mergeCell ref="E18:F18"/>
    <mergeCell ref="M18:N18"/>
    <mergeCell ref="A1:J1"/>
    <mergeCell ref="A2:J2"/>
    <mergeCell ref="C5:D5"/>
    <mergeCell ref="H5:I5"/>
    <mergeCell ref="H7:I7"/>
  </mergeCells>
  <pageMargins left="0.25" right="0.25" top="0.75" bottom="0.75" header="0.3" footer="0.3"/>
  <pageSetup scale="56" fitToHeight="4" orientation="portrait" r:id="rId1"/>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drawing r:id="rId2"/>
  <legacyDrawing r:id="rId3"/>
  <controls>
    <mc:AlternateContent xmlns:mc="http://schemas.openxmlformats.org/markup-compatibility/2006">
      <mc:Choice Requires="x14">
        <control shapeId="69671" r:id="rId4" name="CommandButton1">
          <controlPr defaultSize="0" autoLine="0" r:id="rId5">
            <anchor moveWithCells="1">
              <from>
                <xdr:col>11</xdr:col>
                <xdr:colOff>266700</xdr:colOff>
                <xdr:row>122</xdr:row>
                <xdr:rowOff>0</xdr:rowOff>
              </from>
              <to>
                <xdr:col>14</xdr:col>
                <xdr:colOff>704850</xdr:colOff>
                <xdr:row>124</xdr:row>
                <xdr:rowOff>146050</xdr:rowOff>
              </to>
            </anchor>
          </controlPr>
        </control>
      </mc:Choice>
      <mc:Fallback>
        <control shapeId="69671" r:id="rId4" name="CommandButton1"/>
      </mc:Fallback>
    </mc:AlternateContent>
    <mc:AlternateContent xmlns:mc="http://schemas.openxmlformats.org/markup-compatibility/2006">
      <mc:Choice Requires="x14">
        <control shapeId="69659" r:id="rId6" name="OptionButton10">
          <controlPr defaultSize="0" autoLine="0" r:id="rId7">
            <anchor moveWithCells="1">
              <from>
                <xdr:col>1</xdr:col>
                <xdr:colOff>88900</xdr:colOff>
                <xdr:row>44</xdr:row>
                <xdr:rowOff>12700</xdr:rowOff>
              </from>
              <to>
                <xdr:col>2</xdr:col>
                <xdr:colOff>76200</xdr:colOff>
                <xdr:row>45</xdr:row>
                <xdr:rowOff>88900</xdr:rowOff>
              </to>
            </anchor>
          </controlPr>
        </control>
      </mc:Choice>
      <mc:Fallback>
        <control shapeId="69659" r:id="rId6" name="OptionButton10"/>
      </mc:Fallback>
    </mc:AlternateContent>
    <mc:AlternateContent xmlns:mc="http://schemas.openxmlformats.org/markup-compatibility/2006">
      <mc:Choice Requires="x14">
        <control shapeId="69650" r:id="rId8" name="OptionButton7">
          <controlPr defaultSize="0" autoLine="0" r:id="rId9">
            <anchor moveWithCells="1">
              <from>
                <xdr:col>1</xdr:col>
                <xdr:colOff>69850</xdr:colOff>
                <xdr:row>70</xdr:row>
                <xdr:rowOff>0</xdr:rowOff>
              </from>
              <to>
                <xdr:col>2</xdr:col>
                <xdr:colOff>57150</xdr:colOff>
                <xdr:row>71</xdr:row>
                <xdr:rowOff>76200</xdr:rowOff>
              </to>
            </anchor>
          </controlPr>
        </control>
      </mc:Choice>
      <mc:Fallback>
        <control shapeId="69650" r:id="rId8" name="OptionButton7"/>
      </mc:Fallback>
    </mc:AlternateContent>
    <mc:AlternateContent xmlns:mc="http://schemas.openxmlformats.org/markup-compatibility/2006">
      <mc:Choice Requires="x14">
        <control shapeId="69634" r:id="rId10" name="OptionButton2">
          <controlPr defaultSize="0" autoLine="0" r:id="rId11">
            <anchor moveWithCells="1">
              <from>
                <xdr:col>6</xdr:col>
                <xdr:colOff>0</xdr:colOff>
                <xdr:row>19</xdr:row>
                <xdr:rowOff>241300</xdr:rowOff>
              </from>
              <to>
                <xdr:col>10</xdr:col>
                <xdr:colOff>279400</xdr:colOff>
                <xdr:row>20</xdr:row>
                <xdr:rowOff>222250</xdr:rowOff>
              </to>
            </anchor>
          </controlPr>
        </control>
      </mc:Choice>
      <mc:Fallback>
        <control shapeId="69634" r:id="rId10" name="OptionButton2"/>
      </mc:Fallback>
    </mc:AlternateContent>
    <mc:AlternateContent xmlns:mc="http://schemas.openxmlformats.org/markup-compatibility/2006">
      <mc:Choice Requires="x14">
        <control shapeId="69633" r:id="rId12" name="OptionButton1">
          <controlPr defaultSize="0" autoLine="0" autoPict="0" r:id="rId13">
            <anchor moveWithCells="1">
              <from>
                <xdr:col>2</xdr:col>
                <xdr:colOff>889000</xdr:colOff>
                <xdr:row>19</xdr:row>
                <xdr:rowOff>260350</xdr:rowOff>
              </from>
              <to>
                <xdr:col>6</xdr:col>
                <xdr:colOff>184150</xdr:colOff>
                <xdr:row>20</xdr:row>
                <xdr:rowOff>190500</xdr:rowOff>
              </to>
            </anchor>
          </controlPr>
        </control>
      </mc:Choice>
      <mc:Fallback>
        <control shapeId="69633" r:id="rId12" name="OptionButton1"/>
      </mc:Fallback>
    </mc:AlternateContent>
    <mc:AlternateContent xmlns:mc="http://schemas.openxmlformats.org/markup-compatibility/2006">
      <mc:Choice Requires="x14">
        <control shapeId="69635" r:id="rId14" name="Group Box 3">
          <controlPr defaultSize="0" autoFill="0" autoPict="0">
            <anchor moveWithCells="1">
              <from>
                <xdr:col>0</xdr:col>
                <xdr:colOff>12700</xdr:colOff>
                <xdr:row>19</xdr:row>
                <xdr:rowOff>57150</xdr:rowOff>
              </from>
              <to>
                <xdr:col>7</xdr:col>
                <xdr:colOff>95250</xdr:colOff>
                <xdr:row>20</xdr:row>
                <xdr:rowOff>336550</xdr:rowOff>
              </to>
            </anchor>
          </controlPr>
        </control>
      </mc:Choice>
    </mc:AlternateContent>
    <mc:AlternateContent xmlns:mc="http://schemas.openxmlformats.org/markup-compatibility/2006">
      <mc:Choice Requires="x14">
        <control shapeId="69636" r:id="rId15" name="Check Box 4">
          <controlPr defaultSize="0" autoFill="0" autoLine="0" autoPict="0">
            <anchor moveWithCells="1">
              <from>
                <xdr:col>7</xdr:col>
                <xdr:colOff>533400</xdr:colOff>
                <xdr:row>21</xdr:row>
                <xdr:rowOff>190500</xdr:rowOff>
              </from>
              <to>
                <xdr:col>9</xdr:col>
                <xdr:colOff>50800</xdr:colOff>
                <xdr:row>22</xdr:row>
                <xdr:rowOff>0</xdr:rowOff>
              </to>
            </anchor>
          </controlPr>
        </control>
      </mc:Choice>
    </mc:AlternateContent>
    <mc:AlternateContent xmlns:mc="http://schemas.openxmlformats.org/markup-compatibility/2006">
      <mc:Choice Requires="x14">
        <control shapeId="69637" r:id="rId16" name="Check Box 5">
          <controlPr defaultSize="0" autoFill="0" autoLine="0" autoPict="0">
            <anchor moveWithCells="1">
              <from>
                <xdr:col>9</xdr:col>
                <xdr:colOff>419100</xdr:colOff>
                <xdr:row>21</xdr:row>
                <xdr:rowOff>190500</xdr:rowOff>
              </from>
              <to>
                <xdr:col>10</xdr:col>
                <xdr:colOff>990600</xdr:colOff>
                <xdr:row>22</xdr:row>
                <xdr:rowOff>0</xdr:rowOff>
              </to>
            </anchor>
          </controlPr>
        </control>
      </mc:Choice>
    </mc:AlternateContent>
    <mc:AlternateContent xmlns:mc="http://schemas.openxmlformats.org/markup-compatibility/2006">
      <mc:Choice Requires="x14">
        <control shapeId="69641" r:id="rId17" name="Group Box 9">
          <controlPr defaultSize="0" autoFill="0" autoPict="0">
            <anchor moveWithCells="1">
              <from>
                <xdr:col>0</xdr:col>
                <xdr:colOff>50800</xdr:colOff>
                <xdr:row>65</xdr:row>
                <xdr:rowOff>0</xdr:rowOff>
              </from>
              <to>
                <xdr:col>4</xdr:col>
                <xdr:colOff>260350</xdr:colOff>
                <xdr:row>69</xdr:row>
                <xdr:rowOff>95250</xdr:rowOff>
              </to>
            </anchor>
          </controlPr>
        </control>
      </mc:Choice>
    </mc:AlternateContent>
    <mc:AlternateContent xmlns:mc="http://schemas.openxmlformats.org/markup-compatibility/2006">
      <mc:Choice Requires="x14">
        <control shapeId="69642" r:id="rId18" name="Option Button 10">
          <controlPr defaultSize="0" autoFill="0" autoLine="0" autoPict="0">
            <anchor moveWithCells="1">
              <from>
                <xdr:col>4</xdr:col>
                <xdr:colOff>419100</xdr:colOff>
                <xdr:row>65</xdr:row>
                <xdr:rowOff>0</xdr:rowOff>
              </from>
              <to>
                <xdr:col>5</xdr:col>
                <xdr:colOff>50800</xdr:colOff>
                <xdr:row>66</xdr:row>
                <xdr:rowOff>50800</xdr:rowOff>
              </to>
            </anchor>
          </controlPr>
        </control>
      </mc:Choice>
    </mc:AlternateContent>
    <mc:AlternateContent xmlns:mc="http://schemas.openxmlformats.org/markup-compatibility/2006">
      <mc:Choice Requires="x14">
        <control shapeId="69643" r:id="rId19" name="Option Button 11">
          <controlPr defaultSize="0" autoFill="0" autoLine="0" autoPict="0">
            <anchor moveWithCells="1">
              <from>
                <xdr:col>5</xdr:col>
                <xdr:colOff>571500</xdr:colOff>
                <xdr:row>65</xdr:row>
                <xdr:rowOff>0</xdr:rowOff>
              </from>
              <to>
                <xdr:col>6</xdr:col>
                <xdr:colOff>0</xdr:colOff>
                <xdr:row>66</xdr:row>
                <xdr:rowOff>0</xdr:rowOff>
              </to>
            </anchor>
          </controlPr>
        </control>
      </mc:Choice>
    </mc:AlternateContent>
    <mc:AlternateContent xmlns:mc="http://schemas.openxmlformats.org/markup-compatibility/2006">
      <mc:Choice Requires="x14">
        <control shapeId="69644" r:id="rId20" name="Group Box 12">
          <controlPr defaultSize="0" autoFill="0" autoPict="0">
            <anchor moveWithCells="1">
              <from>
                <xdr:col>4</xdr:col>
                <xdr:colOff>361950</xdr:colOff>
                <xdr:row>65</xdr:row>
                <xdr:rowOff>0</xdr:rowOff>
              </from>
              <to>
                <xdr:col>6</xdr:col>
                <xdr:colOff>533400</xdr:colOff>
                <xdr:row>67</xdr:row>
                <xdr:rowOff>152400</xdr:rowOff>
              </to>
            </anchor>
          </controlPr>
        </control>
      </mc:Choice>
    </mc:AlternateContent>
    <mc:AlternateContent xmlns:mc="http://schemas.openxmlformats.org/markup-compatibility/2006">
      <mc:Choice Requires="x14">
        <control shapeId="69645" r:id="rId21" name="Group Box 13">
          <controlPr defaultSize="0" autoFill="0" autoPict="0">
            <anchor moveWithCells="1">
              <from>
                <xdr:col>0</xdr:col>
                <xdr:colOff>374650</xdr:colOff>
                <xdr:row>65</xdr:row>
                <xdr:rowOff>0</xdr:rowOff>
              </from>
              <to>
                <xdr:col>4</xdr:col>
                <xdr:colOff>260350</xdr:colOff>
                <xdr:row>68</xdr:row>
                <xdr:rowOff>95250</xdr:rowOff>
              </to>
            </anchor>
          </controlPr>
        </control>
      </mc:Choice>
    </mc:AlternateContent>
    <mc:AlternateContent xmlns:mc="http://schemas.openxmlformats.org/markup-compatibility/2006">
      <mc:Choice Requires="x14">
        <control shapeId="69646" r:id="rId22" name="Option Button 14">
          <controlPr defaultSize="0" autoFill="0" autoLine="0" autoPict="0">
            <anchor moveWithCells="1">
              <from>
                <xdr:col>4</xdr:col>
                <xdr:colOff>419100</xdr:colOff>
                <xdr:row>65</xdr:row>
                <xdr:rowOff>0</xdr:rowOff>
              </from>
              <to>
                <xdr:col>5</xdr:col>
                <xdr:colOff>50800</xdr:colOff>
                <xdr:row>66</xdr:row>
                <xdr:rowOff>50800</xdr:rowOff>
              </to>
            </anchor>
          </controlPr>
        </control>
      </mc:Choice>
    </mc:AlternateContent>
    <mc:AlternateContent xmlns:mc="http://schemas.openxmlformats.org/markup-compatibility/2006">
      <mc:Choice Requires="x14">
        <control shapeId="69647" r:id="rId23" name="Option Button 15">
          <controlPr defaultSize="0" autoFill="0" autoLine="0" autoPict="0">
            <anchor moveWithCells="1">
              <from>
                <xdr:col>5</xdr:col>
                <xdr:colOff>571500</xdr:colOff>
                <xdr:row>65</xdr:row>
                <xdr:rowOff>0</xdr:rowOff>
              </from>
              <to>
                <xdr:col>6</xdr:col>
                <xdr:colOff>0</xdr:colOff>
                <xdr:row>66</xdr:row>
                <xdr:rowOff>0</xdr:rowOff>
              </to>
            </anchor>
          </controlPr>
        </control>
      </mc:Choice>
    </mc:AlternateContent>
    <mc:AlternateContent xmlns:mc="http://schemas.openxmlformats.org/markup-compatibility/2006">
      <mc:Choice Requires="x14">
        <control shapeId="69648" r:id="rId24" name="Group Box 16">
          <controlPr defaultSize="0" autoFill="0" autoPict="0">
            <anchor moveWithCells="1">
              <from>
                <xdr:col>4</xdr:col>
                <xdr:colOff>266700</xdr:colOff>
                <xdr:row>65</xdr:row>
                <xdr:rowOff>0</xdr:rowOff>
              </from>
              <to>
                <xdr:col>6</xdr:col>
                <xdr:colOff>323850</xdr:colOff>
                <xdr:row>67</xdr:row>
                <xdr:rowOff>165100</xdr:rowOff>
              </to>
            </anchor>
          </controlPr>
        </control>
      </mc:Choice>
    </mc:AlternateContent>
    <mc:AlternateContent xmlns:mc="http://schemas.openxmlformats.org/markup-compatibility/2006">
      <mc:Choice Requires="x14">
        <control shapeId="69652" r:id="rId25" name="Group Box 20">
          <controlPr defaultSize="0" autoFill="0" autoPict="0">
            <anchor moveWithCells="1">
              <from>
                <xdr:col>0</xdr:col>
                <xdr:colOff>317500</xdr:colOff>
                <xdr:row>68</xdr:row>
                <xdr:rowOff>209550</xdr:rowOff>
              </from>
              <to>
                <xdr:col>4</xdr:col>
                <xdr:colOff>260350</xdr:colOff>
                <xdr:row>72</xdr:row>
                <xdr:rowOff>12700</xdr:rowOff>
              </to>
            </anchor>
          </controlPr>
        </control>
      </mc:Choice>
    </mc:AlternateContent>
    <mc:AlternateContent xmlns:mc="http://schemas.openxmlformats.org/markup-compatibility/2006">
      <mc:Choice Requires="x14">
        <control shapeId="69653" r:id="rId26" name="Option Button 21">
          <controlPr defaultSize="0" autoFill="0" autoLine="0" autoPict="0">
            <anchor moveWithCells="1">
              <from>
                <xdr:col>2</xdr:col>
                <xdr:colOff>889000</xdr:colOff>
                <xdr:row>37</xdr:row>
                <xdr:rowOff>127000</xdr:rowOff>
              </from>
              <to>
                <xdr:col>3</xdr:col>
                <xdr:colOff>889000</xdr:colOff>
                <xdr:row>38</xdr:row>
                <xdr:rowOff>127000</xdr:rowOff>
              </to>
            </anchor>
          </controlPr>
        </control>
      </mc:Choice>
    </mc:AlternateContent>
    <mc:AlternateContent xmlns:mc="http://schemas.openxmlformats.org/markup-compatibility/2006">
      <mc:Choice Requires="x14">
        <control shapeId="69654" r:id="rId27" name="Option Button 22">
          <controlPr defaultSize="0" autoFill="0" autoLine="0" autoPict="0">
            <anchor moveWithCells="1">
              <from>
                <xdr:col>2</xdr:col>
                <xdr:colOff>1060450</xdr:colOff>
                <xdr:row>37</xdr:row>
                <xdr:rowOff>69850</xdr:rowOff>
              </from>
              <to>
                <xdr:col>4</xdr:col>
                <xdr:colOff>190500</xdr:colOff>
                <xdr:row>38</xdr:row>
                <xdr:rowOff>69850</xdr:rowOff>
              </to>
            </anchor>
          </controlPr>
        </control>
      </mc:Choice>
    </mc:AlternateContent>
    <mc:AlternateContent xmlns:mc="http://schemas.openxmlformats.org/markup-compatibility/2006">
      <mc:Choice Requires="x14">
        <control shapeId="69655" r:id="rId28" name="Option Button 23">
          <controlPr defaultSize="0" autoFill="0" autoLine="0" autoPict="0">
            <anchor moveWithCells="1">
              <from>
                <xdr:col>4</xdr:col>
                <xdr:colOff>209550</xdr:colOff>
                <xdr:row>37</xdr:row>
                <xdr:rowOff>69850</xdr:rowOff>
              </from>
              <to>
                <xdr:col>5</xdr:col>
                <xdr:colOff>622300</xdr:colOff>
                <xdr:row>38</xdr:row>
                <xdr:rowOff>69850</xdr:rowOff>
              </to>
            </anchor>
          </controlPr>
        </control>
      </mc:Choice>
    </mc:AlternateContent>
    <mc:AlternateContent xmlns:mc="http://schemas.openxmlformats.org/markup-compatibility/2006">
      <mc:Choice Requires="x14">
        <control shapeId="69657" r:id="rId29" name="Group Box 25">
          <controlPr defaultSize="0" autoFill="0" autoPict="0">
            <anchor moveWithCells="1">
              <from>
                <xdr:col>2</xdr:col>
                <xdr:colOff>533400</xdr:colOff>
                <xdr:row>36</xdr:row>
                <xdr:rowOff>266700</xdr:rowOff>
              </from>
              <to>
                <xdr:col>14</xdr:col>
                <xdr:colOff>850900</xdr:colOff>
                <xdr:row>39</xdr:row>
                <xdr:rowOff>50800</xdr:rowOff>
              </to>
            </anchor>
          </controlPr>
        </control>
      </mc:Choice>
    </mc:AlternateContent>
    <mc:AlternateContent xmlns:mc="http://schemas.openxmlformats.org/markup-compatibility/2006">
      <mc:Choice Requires="x14">
        <control shapeId="69661" r:id="rId30" name="Group Box 29">
          <controlPr defaultSize="0" autoFill="0" autoPict="0">
            <anchor moveWithCells="1">
              <from>
                <xdr:col>0</xdr:col>
                <xdr:colOff>571500</xdr:colOff>
                <xdr:row>42</xdr:row>
                <xdr:rowOff>209550</xdr:rowOff>
              </from>
              <to>
                <xdr:col>4</xdr:col>
                <xdr:colOff>260350</xdr:colOff>
                <xdr:row>46</xdr:row>
                <xdr:rowOff>12700</xdr:rowOff>
              </to>
            </anchor>
          </controlPr>
        </control>
      </mc:Choice>
    </mc:AlternateContent>
    <mc:AlternateContent xmlns:mc="http://schemas.openxmlformats.org/markup-compatibility/2006">
      <mc:Choice Requires="x14">
        <control shapeId="69732" r:id="rId31" name="Check Box 100">
          <controlPr defaultSize="0" autoFill="0" autoLine="0" autoPict="0">
            <anchor moveWithCells="1">
              <from>
                <xdr:col>1</xdr:col>
                <xdr:colOff>927100</xdr:colOff>
                <xdr:row>9</xdr:row>
                <xdr:rowOff>114300</xdr:rowOff>
              </from>
              <to>
                <xdr:col>3</xdr:col>
                <xdr:colOff>0</xdr:colOff>
                <xdr:row>10</xdr:row>
                <xdr:rowOff>0</xdr:rowOff>
              </to>
            </anchor>
          </controlPr>
        </control>
      </mc:Choice>
    </mc:AlternateContent>
    <mc:AlternateContent xmlns:mc="http://schemas.openxmlformats.org/markup-compatibility/2006">
      <mc:Choice Requires="x14">
        <control shapeId="69733" r:id="rId32" name="Check Box 101">
          <controlPr defaultSize="0" autoFill="0" autoLine="0" autoPict="0">
            <anchor moveWithCells="1">
              <from>
                <xdr:col>0</xdr:col>
                <xdr:colOff>1193800</xdr:colOff>
                <xdr:row>9</xdr:row>
                <xdr:rowOff>114300</xdr:rowOff>
              </from>
              <to>
                <xdr:col>2</xdr:col>
                <xdr:colOff>0</xdr:colOff>
                <xdr:row>10</xdr:row>
                <xdr:rowOff>0</xdr:rowOff>
              </to>
            </anchor>
          </controlPr>
        </control>
      </mc:Choice>
    </mc:AlternateContent>
    <mc:AlternateContent xmlns:mc="http://schemas.openxmlformats.org/markup-compatibility/2006">
      <mc:Choice Requires="x14">
        <control shapeId="69734" r:id="rId33" name="Check Box 102">
          <controlPr defaultSize="0" autoFill="0" autoLine="0" autoPict="0">
            <anchor moveWithCells="1">
              <from>
                <xdr:col>3</xdr:col>
                <xdr:colOff>946150</xdr:colOff>
                <xdr:row>9</xdr:row>
                <xdr:rowOff>114300</xdr:rowOff>
              </from>
              <to>
                <xdr:col>3</xdr:col>
                <xdr:colOff>1060450</xdr:colOff>
                <xdr:row>10</xdr:row>
                <xdr:rowOff>0</xdr:rowOff>
              </to>
            </anchor>
          </controlPr>
        </control>
      </mc:Choice>
    </mc:AlternateContent>
    <mc:AlternateContent xmlns:mc="http://schemas.openxmlformats.org/markup-compatibility/2006">
      <mc:Choice Requires="x14">
        <control shapeId="69735" r:id="rId34" name="Check Box 103">
          <controlPr defaultSize="0" autoFill="0" autoLine="0" autoPict="0">
            <anchor moveWithCells="1">
              <from>
                <xdr:col>3</xdr:col>
                <xdr:colOff>0</xdr:colOff>
                <xdr:row>9</xdr:row>
                <xdr:rowOff>114300</xdr:rowOff>
              </from>
              <to>
                <xdr:col>3</xdr:col>
                <xdr:colOff>952500</xdr:colOff>
                <xdr:row>10</xdr:row>
                <xdr:rowOff>0</xdr:rowOff>
              </to>
            </anchor>
          </controlPr>
        </control>
      </mc:Choice>
    </mc:AlternateContent>
    <mc:AlternateContent xmlns:mc="http://schemas.openxmlformats.org/markup-compatibility/2006">
      <mc:Choice Requires="x14">
        <control shapeId="69736" r:id="rId35" name="Group Box 104">
          <controlPr defaultSize="0" autoFill="0" autoPict="0">
            <anchor moveWithCells="1">
              <from>
                <xdr:col>0</xdr:col>
                <xdr:colOff>50800</xdr:colOff>
                <xdr:row>96</xdr:row>
                <xdr:rowOff>0</xdr:rowOff>
              </from>
              <to>
                <xdr:col>4</xdr:col>
                <xdr:colOff>260350</xdr:colOff>
                <xdr:row>100</xdr:row>
                <xdr:rowOff>146050</xdr:rowOff>
              </to>
            </anchor>
          </controlPr>
        </control>
      </mc:Choice>
    </mc:AlternateContent>
    <mc:AlternateContent xmlns:mc="http://schemas.openxmlformats.org/markup-compatibility/2006">
      <mc:Choice Requires="x14">
        <control shapeId="69737" r:id="rId36" name="Option Button 105">
          <controlPr defaultSize="0" autoFill="0" autoLine="0" autoPict="0">
            <anchor moveWithCells="1">
              <from>
                <xdr:col>4</xdr:col>
                <xdr:colOff>419100</xdr:colOff>
                <xdr:row>103</xdr:row>
                <xdr:rowOff>0</xdr:rowOff>
              </from>
              <to>
                <xdr:col>5</xdr:col>
                <xdr:colOff>50800</xdr:colOff>
                <xdr:row>104</xdr:row>
                <xdr:rowOff>50800</xdr:rowOff>
              </to>
            </anchor>
          </controlPr>
        </control>
      </mc:Choice>
    </mc:AlternateContent>
    <mc:AlternateContent xmlns:mc="http://schemas.openxmlformats.org/markup-compatibility/2006">
      <mc:Choice Requires="x14">
        <control shapeId="69738" r:id="rId37" name="Option Button 106">
          <controlPr defaultSize="0" autoFill="0" autoLine="0" autoPict="0">
            <anchor moveWithCells="1">
              <from>
                <xdr:col>5</xdr:col>
                <xdr:colOff>571500</xdr:colOff>
                <xdr:row>103</xdr:row>
                <xdr:rowOff>12700</xdr:rowOff>
              </from>
              <to>
                <xdr:col>6</xdr:col>
                <xdr:colOff>0</xdr:colOff>
                <xdr:row>104</xdr:row>
                <xdr:rowOff>12700</xdr:rowOff>
              </to>
            </anchor>
          </controlPr>
        </control>
      </mc:Choice>
    </mc:AlternateContent>
    <mc:AlternateContent xmlns:mc="http://schemas.openxmlformats.org/markup-compatibility/2006">
      <mc:Choice Requires="x14">
        <control shapeId="69739" r:id="rId38" name="Group Box 107">
          <controlPr defaultSize="0" autoFill="0" autoPict="0">
            <anchor moveWithCells="1">
              <from>
                <xdr:col>4</xdr:col>
                <xdr:colOff>361950</xdr:colOff>
                <xdr:row>102</xdr:row>
                <xdr:rowOff>12700</xdr:rowOff>
              </from>
              <to>
                <xdr:col>6</xdr:col>
                <xdr:colOff>533400</xdr:colOff>
                <xdr:row>104</xdr:row>
                <xdr:rowOff>165100</xdr:rowOff>
              </to>
            </anchor>
          </controlPr>
        </control>
      </mc:Choice>
    </mc:AlternateContent>
    <mc:AlternateContent xmlns:mc="http://schemas.openxmlformats.org/markup-compatibility/2006">
      <mc:Choice Requires="x14">
        <control shapeId="69740" r:id="rId39" name="Group Box 108">
          <controlPr defaultSize="0" autoFill="0" autoPict="0">
            <anchor moveWithCells="1">
              <from>
                <xdr:col>0</xdr:col>
                <xdr:colOff>374650</xdr:colOff>
                <xdr:row>96</xdr:row>
                <xdr:rowOff>76200</xdr:rowOff>
              </from>
              <to>
                <xdr:col>4</xdr:col>
                <xdr:colOff>260350</xdr:colOff>
                <xdr:row>100</xdr:row>
                <xdr:rowOff>38100</xdr:rowOff>
              </to>
            </anchor>
          </controlPr>
        </control>
      </mc:Choice>
    </mc:AlternateContent>
    <mc:AlternateContent xmlns:mc="http://schemas.openxmlformats.org/markup-compatibility/2006">
      <mc:Choice Requires="x14">
        <control shapeId="69741" r:id="rId40" name="Option Button 109">
          <controlPr defaultSize="0" autoFill="0" autoLine="0" autoPict="0">
            <anchor moveWithCells="1">
              <from>
                <xdr:col>4</xdr:col>
                <xdr:colOff>419100</xdr:colOff>
                <xdr:row>106</xdr:row>
                <xdr:rowOff>0</xdr:rowOff>
              </from>
              <to>
                <xdr:col>5</xdr:col>
                <xdr:colOff>50800</xdr:colOff>
                <xdr:row>107</xdr:row>
                <xdr:rowOff>50800</xdr:rowOff>
              </to>
            </anchor>
          </controlPr>
        </control>
      </mc:Choice>
    </mc:AlternateContent>
    <mc:AlternateContent xmlns:mc="http://schemas.openxmlformats.org/markup-compatibility/2006">
      <mc:Choice Requires="x14">
        <control shapeId="69742" r:id="rId41" name="Option Button 110">
          <controlPr defaultSize="0" autoFill="0" autoLine="0" autoPict="0">
            <anchor moveWithCells="1">
              <from>
                <xdr:col>5</xdr:col>
                <xdr:colOff>571500</xdr:colOff>
                <xdr:row>106</xdr:row>
                <xdr:rowOff>12700</xdr:rowOff>
              </from>
              <to>
                <xdr:col>6</xdr:col>
                <xdr:colOff>0</xdr:colOff>
                <xdr:row>107</xdr:row>
                <xdr:rowOff>12700</xdr:rowOff>
              </to>
            </anchor>
          </controlPr>
        </control>
      </mc:Choice>
    </mc:AlternateContent>
    <mc:AlternateContent xmlns:mc="http://schemas.openxmlformats.org/markup-compatibility/2006">
      <mc:Choice Requires="x14">
        <control shapeId="69743" r:id="rId42" name="Group Box 111">
          <controlPr defaultSize="0" autoFill="0" autoPict="0">
            <anchor moveWithCells="1">
              <from>
                <xdr:col>4</xdr:col>
                <xdr:colOff>266700</xdr:colOff>
                <xdr:row>105</xdr:row>
                <xdr:rowOff>69850</xdr:rowOff>
              </from>
              <to>
                <xdr:col>6</xdr:col>
                <xdr:colOff>323850</xdr:colOff>
                <xdr:row>108</xdr:row>
                <xdr:rowOff>50800</xdr:rowOff>
              </to>
            </anchor>
          </controlPr>
        </control>
      </mc:Choice>
    </mc:AlternateContent>
  </control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dimension ref="A1:O144"/>
  <sheetViews>
    <sheetView showGridLines="0" zoomScale="90" zoomScaleNormal="90" workbookViewId="0">
      <selection sqref="A1:J1"/>
    </sheetView>
  </sheetViews>
  <sheetFormatPr defaultColWidth="0" defaultRowHeight="14.5" customHeight="1" zeroHeight="1"/>
  <cols>
    <col min="1" max="1" width="14.54296875" style="38" customWidth="1"/>
    <col min="2" max="2" width="9.54296875" style="38" customWidth="1"/>
    <col min="3" max="3" width="11.54296875" style="38" customWidth="1"/>
    <col min="4" max="4" width="15" style="38" customWidth="1"/>
    <col min="5" max="5" width="10.54296875" style="38" customWidth="1"/>
    <col min="6" max="6" width="12" style="38" customWidth="1"/>
    <col min="7" max="7" width="11.54296875" style="38" customWidth="1"/>
    <col min="8" max="10" width="10.54296875" style="38" customWidth="1"/>
    <col min="11" max="11" width="19.54296875" style="38" customWidth="1"/>
    <col min="12" max="13" width="10.54296875" style="38" customWidth="1"/>
    <col min="14" max="14" width="9.1796875" style="38" customWidth="1"/>
    <col min="15" max="15" width="13.7265625" style="38" customWidth="1"/>
    <col min="16" max="16384" width="13.7265625" style="38" hidden="1"/>
  </cols>
  <sheetData>
    <row r="1" spans="1:15" ht="55" customHeight="1">
      <c r="A1" s="1410" t="str">
        <f>Development!$A$3&amp;" Residential Efficiency Program"</f>
        <v>2025 Residential Efficiency Program</v>
      </c>
      <c r="B1" s="1410"/>
      <c r="C1" s="1410"/>
      <c r="D1" s="1410"/>
      <c r="E1" s="1410"/>
      <c r="F1" s="1410"/>
      <c r="G1" s="1410"/>
      <c r="H1" s="1410"/>
      <c r="I1" s="1410"/>
      <c r="J1" s="1410"/>
      <c r="K1" s="6"/>
      <c r="L1" s="6"/>
      <c r="M1" s="6"/>
      <c r="N1" s="6"/>
      <c r="O1" s="6"/>
    </row>
    <row r="2" spans="1:15" ht="55" customHeight="1">
      <c r="A2" s="1418" t="s">
        <v>100</v>
      </c>
      <c r="B2" s="1418"/>
      <c r="C2" s="1418"/>
      <c r="D2" s="1418"/>
      <c r="E2" s="1418"/>
      <c r="F2" s="1418"/>
      <c r="G2" s="1418"/>
      <c r="H2" s="1418"/>
      <c r="I2" s="1418"/>
      <c r="J2" s="1418"/>
      <c r="K2" s="7"/>
      <c r="L2" s="7"/>
      <c r="M2" s="7"/>
      <c r="N2" s="7"/>
      <c r="O2" s="7"/>
    </row>
    <row r="3" spans="1:15" ht="23.5" thickBot="1">
      <c r="A3" s="23" t="s">
        <v>102</v>
      </c>
      <c r="B3" s="23"/>
      <c r="C3" s="23"/>
      <c r="D3" s="23"/>
      <c r="E3" s="23"/>
      <c r="F3" s="23"/>
      <c r="G3" s="23"/>
      <c r="H3" s="23"/>
      <c r="I3" s="23"/>
      <c r="J3" s="23"/>
      <c r="K3" s="23"/>
      <c r="L3" s="23"/>
      <c r="M3" s="23"/>
      <c r="N3" s="23"/>
      <c r="O3" s="23"/>
    </row>
    <row r="4" spans="1:15" ht="18.75" customHeight="1">
      <c r="A4" s="24"/>
      <c r="B4" s="24"/>
      <c r="C4" s="24"/>
      <c r="D4" s="24"/>
      <c r="E4" s="24"/>
      <c r="F4" s="24"/>
      <c r="G4" s="24"/>
      <c r="H4" s="24"/>
      <c r="I4" s="24"/>
      <c r="J4" s="24"/>
      <c r="K4" s="24"/>
      <c r="L4" s="24"/>
      <c r="M4" s="24"/>
      <c r="N4" s="24"/>
      <c r="O4" s="24"/>
    </row>
    <row r="5" spans="1:15" ht="18" customHeight="1">
      <c r="A5" s="19" t="s">
        <v>104</v>
      </c>
      <c r="B5" s="91" t="e">
        <f>#REF!</f>
        <v>#REF!</v>
      </c>
      <c r="C5" s="1433"/>
      <c r="D5" s="1433"/>
      <c r="E5" s="19"/>
      <c r="F5" s="19"/>
      <c r="G5" s="19" t="s">
        <v>57</v>
      </c>
      <c r="H5" s="1426" t="e">
        <f>IF(#REF!="","",#REF!)</f>
        <v>#REF!</v>
      </c>
      <c r="I5" s="1426"/>
      <c r="J5" s="15"/>
      <c r="K5" s="7"/>
      <c r="L5" s="7"/>
      <c r="M5" s="7"/>
      <c r="N5" s="7"/>
      <c r="O5" s="7"/>
    </row>
    <row r="6" spans="1:15" ht="18" customHeight="1">
      <c r="A6" s="19"/>
      <c r="B6" s="19"/>
      <c r="C6" s="19"/>
      <c r="D6" s="19"/>
      <c r="E6" s="19"/>
      <c r="F6" s="19"/>
      <c r="G6" s="19"/>
      <c r="H6" s="19"/>
      <c r="I6" s="15"/>
      <c r="J6" s="15"/>
      <c r="K6" s="7"/>
      <c r="L6" s="7"/>
      <c r="M6" s="7"/>
      <c r="N6" s="7"/>
      <c r="O6" s="7"/>
    </row>
    <row r="7" spans="1:15" ht="18" customHeight="1">
      <c r="B7" s="19"/>
      <c r="D7" s="19"/>
      <c r="E7" s="19"/>
      <c r="F7" s="19"/>
      <c r="G7" s="19" t="s">
        <v>103</v>
      </c>
      <c r="H7" s="1426" t="e">
        <f>IF(#REF!="","",#REF!)</f>
        <v>#REF!</v>
      </c>
      <c r="I7" s="1426"/>
      <c r="J7" s="15"/>
      <c r="K7" s="7"/>
      <c r="L7" s="7"/>
      <c r="M7" s="7"/>
      <c r="N7" s="7"/>
      <c r="O7" s="7"/>
    </row>
    <row r="8" spans="1:15" ht="23">
      <c r="A8" s="21" t="s">
        <v>101</v>
      </c>
      <c r="B8" s="20"/>
      <c r="C8" s="20"/>
      <c r="D8" s="20"/>
      <c r="E8" s="20"/>
      <c r="F8" s="20"/>
      <c r="G8" s="20"/>
      <c r="H8" s="20"/>
      <c r="I8" s="20"/>
      <c r="J8" s="20"/>
      <c r="K8" s="20"/>
      <c r="L8" s="20"/>
      <c r="M8" s="13"/>
      <c r="N8" s="20"/>
      <c r="O8" s="20"/>
    </row>
    <row r="9" spans="1:15" ht="30.5">
      <c r="A9" s="15"/>
      <c r="B9" s="65" t="s">
        <v>26</v>
      </c>
      <c r="C9" s="66"/>
      <c r="D9" s="65" t="s">
        <v>27</v>
      </c>
      <c r="E9" s="67"/>
      <c r="F9" s="15"/>
      <c r="G9" s="15"/>
      <c r="H9" s="15"/>
      <c r="I9" s="15"/>
      <c r="J9" s="15"/>
      <c r="K9" s="7"/>
      <c r="L9" s="7"/>
      <c r="M9" s="7"/>
      <c r="N9" s="7"/>
      <c r="O9" s="7"/>
    </row>
    <row r="10" spans="1:15" ht="24" customHeight="1">
      <c r="A10" s="7"/>
      <c r="B10" s="22"/>
      <c r="C10" s="22"/>
      <c r="D10" s="22"/>
      <c r="E10" s="22"/>
      <c r="G10" s="17"/>
      <c r="H10" s="17"/>
      <c r="J10" s="7"/>
      <c r="K10" s="7"/>
      <c r="L10" s="7"/>
      <c r="M10" s="7"/>
      <c r="N10" s="7"/>
      <c r="O10" s="7"/>
    </row>
    <row r="11" spans="1:15" ht="23.5" thickBot="1">
      <c r="A11" s="18" t="s">
        <v>48</v>
      </c>
      <c r="B11" s="18"/>
      <c r="C11" s="18"/>
      <c r="D11" s="18"/>
      <c r="E11" s="18"/>
      <c r="F11" s="18"/>
      <c r="G11" s="18"/>
      <c r="H11" s="18"/>
      <c r="I11" s="18"/>
      <c r="J11" s="18"/>
      <c r="K11" s="18"/>
      <c r="L11" s="18"/>
      <c r="M11" s="18"/>
      <c r="N11" s="18"/>
      <c r="O11" s="18"/>
    </row>
    <row r="12" spans="1:15" ht="6.75" customHeight="1">
      <c r="A12" s="4"/>
      <c r="B12" s="5"/>
      <c r="C12" s="5"/>
      <c r="D12" s="5"/>
      <c r="E12" s="5"/>
      <c r="F12" s="5"/>
      <c r="G12" s="5"/>
      <c r="H12" s="5"/>
      <c r="I12" s="5"/>
      <c r="J12" s="5"/>
      <c r="K12" s="5"/>
      <c r="L12" s="5"/>
      <c r="M12" s="5"/>
      <c r="N12" s="5"/>
      <c r="O12" s="5"/>
    </row>
    <row r="13" spans="1:15" ht="33.65" customHeight="1">
      <c r="A13" s="126" t="s">
        <v>299</v>
      </c>
      <c r="B13" s="5"/>
      <c r="C13" s="5"/>
      <c r="D13" s="5"/>
      <c r="E13" s="5"/>
      <c r="F13" s="5"/>
      <c r="G13" s="5"/>
      <c r="H13" s="5"/>
      <c r="I13" s="5"/>
      <c r="J13" s="5"/>
      <c r="K13" s="5"/>
      <c r="L13" s="5"/>
      <c r="M13" s="5"/>
      <c r="N13" s="5"/>
      <c r="O13" s="5"/>
    </row>
    <row r="14" spans="1:15" ht="33.65" customHeight="1">
      <c r="A14" s="4"/>
      <c r="B14" s="5"/>
      <c r="C14" s="5"/>
      <c r="D14" s="5"/>
      <c r="E14" s="5"/>
      <c r="F14" s="5"/>
      <c r="G14" s="5"/>
      <c r="H14" s="5"/>
      <c r="I14" s="5"/>
      <c r="J14" s="5"/>
      <c r="K14" s="5"/>
      <c r="L14" s="5"/>
      <c r="M14" s="5"/>
      <c r="N14" s="5"/>
      <c r="O14" s="5"/>
    </row>
    <row r="15" spans="1:15" ht="33.65" customHeight="1">
      <c r="A15" s="38" t="s">
        <v>334</v>
      </c>
      <c r="E15" s="1211"/>
      <c r="F15" s="1211"/>
      <c r="G15" s="38" t="str">
        <f>IF(OR(E15=""),"",'Air Flow References'!AO4)</f>
        <v/>
      </c>
      <c r="L15" s="39" t="s">
        <v>335</v>
      </c>
      <c r="M15" s="1403"/>
      <c r="N15" s="1403"/>
      <c r="O15" s="38" t="str">
        <f>IF(OR(M15=""),"",'Air Flow References'!AO6)</f>
        <v/>
      </c>
    </row>
    <row r="16" spans="1:15" ht="33.65" customHeight="1">
      <c r="E16" s="143"/>
      <c r="F16" s="143"/>
      <c r="L16" s="39"/>
      <c r="M16" s="140"/>
      <c r="N16" s="140"/>
    </row>
    <row r="17" spans="1:15" ht="33.65" customHeight="1">
      <c r="A17" s="125" t="s">
        <v>351</v>
      </c>
    </row>
    <row r="18" spans="1:15" ht="33.65" customHeight="1">
      <c r="A18" s="1354" t="s">
        <v>336</v>
      </c>
      <c r="B18" s="1354"/>
      <c r="C18" s="1354"/>
      <c r="D18" s="1354"/>
      <c r="E18" s="1404"/>
      <c r="F18" s="1404"/>
      <c r="G18" s="38" t="str">
        <f>IF(OR(E18=""),"",'Air Flow References'!AO5)</f>
        <v/>
      </c>
      <c r="H18" s="41"/>
      <c r="I18" s="41" t="s">
        <v>296</v>
      </c>
      <c r="L18" s="39" t="s">
        <v>337</v>
      </c>
      <c r="M18" s="1211"/>
      <c r="N18" s="1211"/>
      <c r="O18" s="38" t="str">
        <f>IF(OR(M18=""),"",'Air Flow References'!AO7)</f>
        <v/>
      </c>
    </row>
    <row r="19" spans="1:15" ht="33.65" customHeight="1"/>
    <row r="20" spans="1:15" ht="33.65" customHeight="1">
      <c r="A20" s="38" t="s">
        <v>340</v>
      </c>
    </row>
    <row r="21" spans="1:15" ht="33.65" customHeight="1"/>
    <row r="22" spans="1:15" ht="33.65" customHeight="1">
      <c r="A22" s="38" t="s">
        <v>341</v>
      </c>
      <c r="E22" s="1403"/>
      <c r="F22" s="1403"/>
      <c r="G22" s="38" t="str">
        <f>IF(OR(E22=""),"",'Air Flow References'!AO9)</f>
        <v/>
      </c>
      <c r="H22" s="68"/>
      <c r="I22" s="68"/>
      <c r="J22" s="68"/>
      <c r="K22" s="68"/>
    </row>
    <row r="23" spans="1:15" ht="33.65" customHeight="1">
      <c r="A23" s="137" t="s">
        <v>353</v>
      </c>
      <c r="E23" s="140"/>
      <c r="F23" s="140"/>
    </row>
    <row r="24" spans="1:15" ht="33.65" customHeight="1">
      <c r="E24" s="140"/>
      <c r="F24" s="140"/>
    </row>
    <row r="25" spans="1:15" ht="33.65" customHeight="1">
      <c r="A25" s="38" t="s">
        <v>342</v>
      </c>
      <c r="E25" s="1434"/>
      <c r="F25" s="1434"/>
      <c r="G25" s="38" t="str">
        <f>IF(OR(E25=""),"",'Air Flow References'!AO8)</f>
        <v/>
      </c>
    </row>
    <row r="26" spans="1:15" ht="33.65" customHeight="1">
      <c r="A26" s="137" t="s">
        <v>354</v>
      </c>
    </row>
    <row r="27" spans="1:15" ht="33.65" customHeight="1">
      <c r="A27" s="137"/>
    </row>
    <row r="28" spans="1:15" ht="33.65" customHeight="1">
      <c r="A28" s="137"/>
    </row>
    <row r="29" spans="1:15">
      <c r="A29" s="1354" t="s">
        <v>44</v>
      </c>
      <c r="B29" s="1354"/>
      <c r="C29" s="1354"/>
      <c r="D29" s="1354"/>
      <c r="E29" s="1354"/>
      <c r="F29" s="1354"/>
      <c r="G29" s="1354"/>
      <c r="H29" s="1354"/>
      <c r="I29" s="1354"/>
      <c r="J29" s="1354"/>
      <c r="K29" s="1354"/>
      <c r="L29" s="1354"/>
      <c r="M29" s="1354"/>
    </row>
    <row r="30" spans="1:15" ht="33.65" customHeight="1">
      <c r="A30" s="38" t="s">
        <v>45</v>
      </c>
      <c r="C30" s="1409"/>
      <c r="D30" s="1409"/>
      <c r="E30" s="1409"/>
      <c r="F30" s="1409"/>
      <c r="G30" s="1409"/>
      <c r="H30" s="1409"/>
      <c r="I30" s="1409"/>
      <c r="J30" s="1409"/>
      <c r="K30" s="1409"/>
      <c r="L30" s="1409"/>
    </row>
    <row r="31" spans="1:15"/>
    <row r="32" spans="1:15">
      <c r="A32" s="41" t="s">
        <v>47</v>
      </c>
    </row>
    <row r="33" spans="1:15">
      <c r="A33" s="38" t="s">
        <v>1514</v>
      </c>
    </row>
    <row r="34" spans="1:15">
      <c r="A34" s="38" t="s">
        <v>46</v>
      </c>
    </row>
    <row r="35" spans="1:15"/>
    <row r="36" spans="1:15" ht="23.5" thickBot="1">
      <c r="A36" s="18" t="s">
        <v>178</v>
      </c>
      <c r="B36" s="18"/>
      <c r="C36" s="18"/>
      <c r="D36" s="18"/>
      <c r="E36" s="18"/>
      <c r="F36" s="18"/>
      <c r="G36" s="18"/>
      <c r="H36" s="18"/>
      <c r="I36" s="18"/>
      <c r="J36" s="18"/>
      <c r="K36" s="18"/>
      <c r="L36" s="18"/>
      <c r="M36" s="18"/>
      <c r="N36" s="18"/>
      <c r="O36" s="18"/>
    </row>
    <row r="37" spans="1:15" ht="23">
      <c r="A37" s="4"/>
      <c r="B37" s="4"/>
      <c r="C37" s="4"/>
      <c r="D37" s="4"/>
      <c r="E37" s="4"/>
      <c r="F37" s="4"/>
      <c r="G37" s="4"/>
      <c r="H37" s="4"/>
      <c r="I37" s="4"/>
      <c r="J37" s="4"/>
      <c r="K37" s="4"/>
      <c r="L37" s="4"/>
      <c r="M37" s="4"/>
      <c r="N37" s="4"/>
      <c r="O37" s="4"/>
    </row>
    <row r="38" spans="1:15" ht="23">
      <c r="A38" s="3" t="s">
        <v>73</v>
      </c>
      <c r="B38" s="4"/>
      <c r="C38" s="4"/>
      <c r="D38" s="4"/>
      <c r="E38" s="4"/>
      <c r="F38" s="4"/>
      <c r="G38" s="4"/>
      <c r="H38" s="4"/>
      <c r="I38" s="1424"/>
      <c r="J38" s="1424"/>
      <c r="K38" s="4"/>
      <c r="L38" s="4"/>
      <c r="M38" s="4"/>
    </row>
    <row r="39" spans="1:15" ht="23">
      <c r="A39" s="4"/>
      <c r="B39" s="4"/>
      <c r="C39" s="4"/>
      <c r="D39" s="4"/>
      <c r="E39" s="4"/>
      <c r="F39" s="4"/>
      <c r="G39" s="4"/>
      <c r="H39" s="4"/>
      <c r="I39" s="4"/>
      <c r="J39" s="4"/>
      <c r="K39" s="4"/>
      <c r="L39" s="4"/>
      <c r="M39" s="4"/>
      <c r="N39" s="4"/>
      <c r="O39" s="4"/>
    </row>
    <row r="40" spans="1:15">
      <c r="A40" s="42" t="s">
        <v>164</v>
      </c>
      <c r="B40" s="42"/>
      <c r="C40" s="42"/>
      <c r="D40" s="42"/>
      <c r="E40" s="42"/>
      <c r="F40" s="42"/>
      <c r="G40" s="42"/>
      <c r="H40" s="42"/>
      <c r="I40" s="42"/>
      <c r="J40" s="42"/>
      <c r="K40" s="42"/>
      <c r="L40" s="42"/>
      <c r="M40" s="42"/>
      <c r="N40" s="42"/>
      <c r="O40" s="42"/>
    </row>
    <row r="41" spans="1:15">
      <c r="A41" s="43"/>
      <c r="B41" s="44"/>
      <c r="C41" s="44"/>
      <c r="D41" s="44"/>
      <c r="E41" s="44"/>
      <c r="F41" s="44"/>
      <c r="G41" s="44"/>
      <c r="H41" s="44"/>
      <c r="I41" s="44"/>
      <c r="J41" s="44"/>
      <c r="K41" s="44"/>
      <c r="L41" s="44"/>
      <c r="M41" s="44"/>
      <c r="N41" s="44"/>
    </row>
    <row r="42" spans="1:15">
      <c r="A42" s="48" t="s">
        <v>71</v>
      </c>
    </row>
    <row r="43" spans="1:15">
      <c r="A43" s="45" t="s">
        <v>72</v>
      </c>
    </row>
    <row r="44" spans="1:15">
      <c r="A44" s="45"/>
    </row>
    <row r="45" spans="1:15">
      <c r="A45" s="45"/>
      <c r="E45" s="1417"/>
      <c r="F45" s="1417"/>
    </row>
    <row r="46" spans="1:15">
      <c r="A46" s="45"/>
    </row>
    <row r="47" spans="1:15">
      <c r="A47" s="45"/>
    </row>
    <row r="48" spans="1:15">
      <c r="A48" s="45"/>
    </row>
    <row r="49" spans="1:7">
      <c r="A49" s="45"/>
      <c r="B49" s="38" t="s">
        <v>86</v>
      </c>
      <c r="E49" s="90"/>
      <c r="F49" s="38" t="s">
        <v>77</v>
      </c>
      <c r="G49" s="38" t="str">
        <f>IF(OR(E49=""),"",'Air Flow References'!AO16)</f>
        <v/>
      </c>
    </row>
    <row r="50" spans="1:7">
      <c r="A50" s="45"/>
    </row>
    <row r="51" spans="1:7">
      <c r="A51" s="45"/>
      <c r="B51" s="38" t="s">
        <v>87</v>
      </c>
      <c r="E51" s="90"/>
      <c r="F51" s="50" t="s">
        <v>77</v>
      </c>
      <c r="G51" s="38" t="str">
        <f>IF(OR(E51=""),"",'Air Flow References'!AO17)</f>
        <v/>
      </c>
    </row>
    <row r="52" spans="1:7">
      <c r="A52" s="45"/>
    </row>
    <row r="53" spans="1:7">
      <c r="A53" s="48" t="s">
        <v>78</v>
      </c>
    </row>
    <row r="54" spans="1:7">
      <c r="A54" s="48"/>
    </row>
    <row r="55" spans="1:7">
      <c r="A55" s="45" t="s">
        <v>88</v>
      </c>
      <c r="E55" s="90"/>
      <c r="F55" s="38" t="s">
        <v>82</v>
      </c>
      <c r="G55" s="38" t="str">
        <f>IF(OR(E55=""),"",'Air Flow References'!AO18)</f>
        <v/>
      </c>
    </row>
    <row r="56" spans="1:7">
      <c r="A56" s="45"/>
    </row>
    <row r="57" spans="1:7">
      <c r="A57" s="45" t="s">
        <v>89</v>
      </c>
      <c r="E57" s="90"/>
      <c r="F57" s="38" t="s">
        <v>77</v>
      </c>
      <c r="G57" s="38" t="str">
        <f>IF(OR(E57=""),"",'Air Flow References'!AO19)</f>
        <v/>
      </c>
    </row>
    <row r="58" spans="1:7">
      <c r="A58" s="45"/>
    </row>
    <row r="59" spans="1:7">
      <c r="A59" s="45" t="s">
        <v>90</v>
      </c>
      <c r="E59" s="90"/>
      <c r="F59" s="38" t="s">
        <v>77</v>
      </c>
      <c r="G59" s="38" t="str">
        <f>IF(OR(E59=""),"",'Air Flow References'!AO20)</f>
        <v/>
      </c>
    </row>
    <row r="60" spans="1:7">
      <c r="A60" s="45"/>
    </row>
    <row r="61" spans="1:7">
      <c r="A61" s="45" t="s">
        <v>91</v>
      </c>
      <c r="E61" s="92" t="str">
        <f>IF(OR(E57="",E59=""),"",E57-E59)</f>
        <v/>
      </c>
      <c r="F61" s="38" t="s">
        <v>77</v>
      </c>
      <c r="G61" s="38" t="str">
        <f>'Air Flow References'!AO21</f>
        <v/>
      </c>
    </row>
    <row r="62" spans="1:7">
      <c r="A62" s="45"/>
    </row>
    <row r="63" spans="1:7">
      <c r="A63" s="51" t="s">
        <v>92</v>
      </c>
    </row>
    <row r="64" spans="1:7">
      <c r="A64" s="45"/>
    </row>
    <row r="65" spans="1:15">
      <c r="A65" s="52" t="s">
        <v>93</v>
      </c>
      <c r="B65" s="53"/>
      <c r="C65" s="53"/>
      <c r="D65" s="53"/>
      <c r="E65" s="53"/>
      <c r="F65" s="53"/>
      <c r="G65" s="53"/>
      <c r="H65" s="53"/>
      <c r="I65" s="53"/>
      <c r="J65" s="53"/>
      <c r="K65" s="53"/>
      <c r="L65" s="53"/>
      <c r="M65" s="53"/>
      <c r="N65" s="53"/>
    </row>
    <row r="66" spans="1:15">
      <c r="A66" s="42" t="s">
        <v>199</v>
      </c>
      <c r="B66" s="42"/>
      <c r="C66" s="42"/>
      <c r="D66" s="42"/>
      <c r="E66" s="42"/>
      <c r="F66" s="42"/>
      <c r="G66" s="42"/>
      <c r="H66" s="42"/>
      <c r="I66" s="42"/>
      <c r="J66" s="42"/>
      <c r="K66" s="42"/>
      <c r="L66" s="42"/>
      <c r="M66" s="42"/>
      <c r="N66" s="42"/>
      <c r="O66" s="42"/>
    </row>
    <row r="67" spans="1:15">
      <c r="A67" s="43"/>
      <c r="B67" s="44"/>
      <c r="C67" s="44"/>
      <c r="D67" s="44"/>
      <c r="E67" s="44"/>
      <c r="F67" s="44"/>
      <c r="G67" s="44"/>
      <c r="H67" s="44"/>
      <c r="I67" s="44"/>
      <c r="J67" s="44"/>
      <c r="K67" s="44"/>
      <c r="L67" s="44"/>
      <c r="M67" s="44"/>
      <c r="N67" s="44"/>
    </row>
    <row r="68" spans="1:15">
      <c r="A68" s="48" t="s">
        <v>71</v>
      </c>
    </row>
    <row r="69" spans="1:15">
      <c r="A69" s="45" t="s">
        <v>72</v>
      </c>
    </row>
    <row r="70" spans="1:15">
      <c r="A70" s="45"/>
    </row>
    <row r="71" spans="1:15">
      <c r="A71" s="45"/>
      <c r="E71" s="1417"/>
      <c r="F71" s="1417"/>
    </row>
    <row r="72" spans="1:15">
      <c r="A72" s="45"/>
    </row>
    <row r="73" spans="1:15">
      <c r="A73" s="45"/>
    </row>
    <row r="74" spans="1:15">
      <c r="A74" s="45"/>
      <c r="B74" s="38" t="s">
        <v>74</v>
      </c>
      <c r="E74" s="90"/>
      <c r="F74" s="38" t="s">
        <v>298</v>
      </c>
      <c r="G74" s="148" t="str">
        <f>IF(OR(E74=""),"",'Air Flow References'!AO28)</f>
        <v/>
      </c>
    </row>
    <row r="75" spans="1:15">
      <c r="A75" s="45"/>
      <c r="B75" s="38" t="s">
        <v>297</v>
      </c>
      <c r="E75" s="143"/>
      <c r="G75" s="49"/>
    </row>
    <row r="76" spans="1:15">
      <c r="A76" s="45"/>
    </row>
    <row r="77" spans="1:15">
      <c r="A77" s="45"/>
      <c r="B77" s="38" t="s">
        <v>75</v>
      </c>
      <c r="E77" s="90"/>
      <c r="F77" s="38" t="s">
        <v>77</v>
      </c>
      <c r="G77" s="38" t="str">
        <f>IF(OR(E77=""),"",'Air Flow References'!AO29)</f>
        <v/>
      </c>
    </row>
    <row r="78" spans="1:15">
      <c r="A78" s="45"/>
    </row>
    <row r="79" spans="1:15">
      <c r="A79" s="45"/>
      <c r="B79" s="38" t="s">
        <v>76</v>
      </c>
      <c r="E79" s="90"/>
      <c r="F79" s="50" t="s">
        <v>77</v>
      </c>
      <c r="G79" s="38" t="str">
        <f>IF(OR(E79=""),"",'Air Flow References'!AO30)</f>
        <v/>
      </c>
    </row>
    <row r="80" spans="1:15">
      <c r="A80" s="45"/>
    </row>
    <row r="81" spans="1:15">
      <c r="A81" s="45"/>
    </row>
    <row r="82" spans="1:15">
      <c r="A82" s="48" t="s">
        <v>78</v>
      </c>
    </row>
    <row r="83" spans="1:15">
      <c r="A83" s="45"/>
    </row>
    <row r="84" spans="1:15">
      <c r="A84" s="45" t="s">
        <v>79</v>
      </c>
      <c r="E84" s="90"/>
      <c r="F84" s="38" t="s">
        <v>82</v>
      </c>
      <c r="G84" s="38" t="str">
        <f>IF(OR(E84=""),"",'Air Flow References'!AO31)</f>
        <v/>
      </c>
    </row>
    <row r="85" spans="1:15">
      <c r="A85" s="45"/>
    </row>
    <row r="86" spans="1:15">
      <c r="A86" s="45" t="s">
        <v>80</v>
      </c>
      <c r="E86" s="90"/>
      <c r="F86" s="50" t="s">
        <v>77</v>
      </c>
      <c r="G86" s="38" t="str">
        <f>IF(OR(E86=""),"",'Air Flow References'!AO32)</f>
        <v/>
      </c>
    </row>
    <row r="87" spans="1:15">
      <c r="A87" s="45"/>
    </row>
    <row r="88" spans="1:15">
      <c r="A88" s="45" t="s">
        <v>81</v>
      </c>
      <c r="E88" s="90"/>
      <c r="F88" s="50" t="s">
        <v>77</v>
      </c>
      <c r="G88" s="38" t="str">
        <f>IF(OR(E88=""),"",'Air Flow References'!AO33)</f>
        <v/>
      </c>
    </row>
    <row r="89" spans="1:15">
      <c r="A89" s="45"/>
    </row>
    <row r="90" spans="1:15">
      <c r="A90" s="45" t="s">
        <v>83</v>
      </c>
      <c r="E90" s="92" t="str">
        <f>IF(OR(E86="",E88=""),"",E88-E86)</f>
        <v/>
      </c>
      <c r="F90" s="50" t="s">
        <v>77</v>
      </c>
      <c r="G90" s="38" t="str">
        <f>'Air Flow References'!AO34</f>
        <v/>
      </c>
    </row>
    <row r="91" spans="1:15">
      <c r="A91" s="45"/>
    </row>
    <row r="92" spans="1:15">
      <c r="A92" s="51" t="s">
        <v>84</v>
      </c>
    </row>
    <row r="93" spans="1:15">
      <c r="A93" s="45"/>
    </row>
    <row r="94" spans="1:15">
      <c r="A94" s="41" t="s">
        <v>85</v>
      </c>
    </row>
    <row r="95" spans="1:15">
      <c r="A95" s="42" t="s">
        <v>575</v>
      </c>
      <c r="B95" s="42"/>
      <c r="C95" s="42"/>
      <c r="D95" s="42"/>
      <c r="E95" s="42"/>
      <c r="F95" s="42"/>
      <c r="G95" s="42"/>
      <c r="H95" s="42"/>
      <c r="I95" s="42"/>
      <c r="J95" s="42"/>
      <c r="K95" s="42"/>
      <c r="L95" s="42"/>
      <c r="M95" s="42"/>
      <c r="N95" s="42"/>
      <c r="O95" s="42"/>
    </row>
    <row r="96" spans="1:15">
      <c r="A96" s="43"/>
      <c r="B96" s="44"/>
      <c r="C96" s="44"/>
      <c r="D96" s="44"/>
      <c r="E96" s="44"/>
      <c r="F96" s="44"/>
      <c r="G96" s="44"/>
      <c r="H96" s="44"/>
      <c r="I96" s="44"/>
      <c r="J96" s="44"/>
      <c r="K96" s="44"/>
      <c r="L96" s="44"/>
      <c r="M96" s="44"/>
      <c r="N96" s="44"/>
    </row>
    <row r="97" spans="1:14">
      <c r="A97" s="45" t="s">
        <v>49</v>
      </c>
    </row>
    <row r="98" spans="1:14" ht="9.75" customHeight="1">
      <c r="A98" s="45"/>
    </row>
    <row r="99" spans="1:14" ht="15.75" customHeight="1">
      <c r="A99" s="45"/>
      <c r="E99" s="1211"/>
      <c r="F99" s="1211"/>
      <c r="G99" s="38" t="s">
        <v>50</v>
      </c>
    </row>
    <row r="100" spans="1:14">
      <c r="A100" s="1397" t="s">
        <v>1432</v>
      </c>
      <c r="B100" s="1124"/>
    </row>
    <row r="101" spans="1:14">
      <c r="A101" s="1397"/>
      <c r="B101" s="1124"/>
      <c r="C101" s="463"/>
      <c r="D101" s="38" t="s">
        <v>1515</v>
      </c>
      <c r="E101" s="463"/>
      <c r="F101" s="38" t="s">
        <v>1516</v>
      </c>
    </row>
    <row r="102" spans="1:14">
      <c r="A102" s="45"/>
    </row>
    <row r="103" spans="1:14">
      <c r="A103" s="45"/>
    </row>
    <row r="104" spans="1:14">
      <c r="A104" s="45" t="s">
        <v>1517</v>
      </c>
      <c r="E104" s="295"/>
    </row>
    <row r="105" spans="1:14">
      <c r="A105" s="45"/>
    </row>
    <row r="106" spans="1:14">
      <c r="A106" s="45"/>
    </row>
    <row r="107" spans="1:14">
      <c r="A107" s="45" t="s">
        <v>59</v>
      </c>
      <c r="E107" s="295"/>
    </row>
    <row r="108" spans="1:14">
      <c r="A108" s="45"/>
    </row>
    <row r="109" spans="1:14">
      <c r="A109" s="45"/>
    </row>
    <row r="110" spans="1:14">
      <c r="A110" s="45" t="s">
        <v>1433</v>
      </c>
      <c r="C110" s="463"/>
      <c r="D110" s="38" t="s">
        <v>60</v>
      </c>
    </row>
    <row r="111" spans="1:14">
      <c r="A111" s="45"/>
    </row>
    <row r="112" spans="1:14">
      <c r="A112" s="45" t="s">
        <v>61</v>
      </c>
      <c r="D112" s="504"/>
      <c r="E112" s="38" t="s">
        <v>62</v>
      </c>
      <c r="F112" s="38" t="s">
        <v>63</v>
      </c>
      <c r="G112" s="460"/>
      <c r="H112" s="38" t="s">
        <v>60</v>
      </c>
      <c r="I112" s="38" t="s">
        <v>64</v>
      </c>
      <c r="J112" s="434"/>
      <c r="K112" s="38" t="s">
        <v>65</v>
      </c>
      <c r="L112" s="46" t="s">
        <v>66</v>
      </c>
      <c r="M112" s="460"/>
      <c r="N112" s="38" t="s">
        <v>67</v>
      </c>
    </row>
    <row r="113" spans="1:15">
      <c r="A113" s="45"/>
      <c r="L113" s="46"/>
    </row>
    <row r="114" spans="1:15">
      <c r="A114" s="45" t="s">
        <v>142</v>
      </c>
      <c r="D114" s="504"/>
      <c r="E114" s="38" t="s">
        <v>62</v>
      </c>
      <c r="F114" s="38" t="s">
        <v>63</v>
      </c>
      <c r="G114" s="460"/>
      <c r="H114" s="38" t="s">
        <v>60</v>
      </c>
      <c r="I114" s="38" t="s">
        <v>64</v>
      </c>
      <c r="J114" s="434"/>
      <c r="K114" s="38" t="s">
        <v>65</v>
      </c>
      <c r="L114" s="46" t="s">
        <v>66</v>
      </c>
      <c r="M114" s="460"/>
      <c r="N114" s="38" t="s">
        <v>67</v>
      </c>
    </row>
    <row r="115" spans="1:15">
      <c r="A115" s="45"/>
    </row>
    <row r="116" spans="1:15">
      <c r="A116" s="47" t="s">
        <v>190</v>
      </c>
      <c r="M116" s="460"/>
      <c r="N116" s="38" t="s">
        <v>67</v>
      </c>
    </row>
    <row r="117" spans="1:15">
      <c r="A117" s="45"/>
    </row>
    <row r="118" spans="1:15">
      <c r="A118" s="1401" t="s">
        <v>68</v>
      </c>
      <c r="B118" s="1399"/>
      <c r="C118" s="1399"/>
      <c r="D118" s="1399"/>
      <c r="E118" s="1402"/>
      <c r="F118" s="1398" t="s">
        <v>69</v>
      </c>
      <c r="G118" s="1398"/>
      <c r="H118" s="1398"/>
      <c r="I118" s="1398"/>
      <c r="J118" s="1398"/>
      <c r="K118" s="1398"/>
      <c r="L118" s="139"/>
      <c r="M118" s="1413" t="str">
        <f>IF(AND(M112="",M114="",M116=""),"",M112+M114+M116)</f>
        <v/>
      </c>
      <c r="N118" s="1399" t="s">
        <v>67</v>
      </c>
    </row>
    <row r="119" spans="1:15">
      <c r="A119" s="1401"/>
      <c r="B119" s="1399"/>
      <c r="C119" s="1399"/>
      <c r="D119" s="1399"/>
      <c r="E119" s="1402"/>
      <c r="F119" s="1398"/>
      <c r="G119" s="1398"/>
      <c r="H119" s="1398"/>
      <c r="I119" s="1398"/>
      <c r="J119" s="1398"/>
      <c r="K119" s="1398"/>
      <c r="L119" s="139"/>
      <c r="M119" s="1414"/>
      <c r="N119" s="1399"/>
    </row>
    <row r="120" spans="1:15">
      <c r="A120" s="45"/>
    </row>
    <row r="121" spans="1:15"/>
    <row r="122" spans="1:15">
      <c r="A122" s="41" t="s">
        <v>70</v>
      </c>
    </row>
    <row r="123" spans="1:15"/>
    <row r="124" spans="1:15">
      <c r="A124" s="57" t="s">
        <v>165</v>
      </c>
      <c r="B124" s="61"/>
      <c r="C124" s="58" t="str">
        <f>Development!$A$4&amp;"_"&amp;Development!$A$2</f>
        <v>01.01.2025_1.0</v>
      </c>
      <c r="D124" s="1415"/>
      <c r="E124" s="1415"/>
      <c r="F124" s="1415"/>
      <c r="G124" s="1416"/>
      <c r="H124" s="1416"/>
      <c r="I124" s="1416"/>
      <c r="J124" s="44"/>
      <c r="K124" s="44"/>
      <c r="L124" s="44"/>
      <c r="M124" s="44"/>
      <c r="N124" s="60" t="s">
        <v>167</v>
      </c>
      <c r="O124" s="59" t="str">
        <f>Development!$A$4</f>
        <v>01.01.2025</v>
      </c>
    </row>
    <row r="125" spans="1:15"/>
    <row r="126" spans="1:15" hidden="1"/>
    <row r="127" spans="1:15" hidden="1"/>
    <row r="128" spans="1:15" hidden="1"/>
    <row r="129" spans="15:15" hidden="1"/>
    <row r="130" spans="15:15" hidden="1"/>
    <row r="131" spans="15:15" hidden="1"/>
    <row r="132" spans="15:15" hidden="1"/>
    <row r="133" spans="15:15" hidden="1"/>
    <row r="134" spans="15:15" hidden="1"/>
    <row r="135" spans="15:15" hidden="1"/>
    <row r="136" spans="15:15" hidden="1"/>
    <row r="137" spans="15:15" hidden="1"/>
    <row r="138" spans="15:15" hidden="1"/>
    <row r="139" spans="15:15" hidden="1"/>
    <row r="140" spans="15:15" hidden="1"/>
    <row r="141" spans="15:15" hidden="1"/>
    <row r="142" spans="15:15" hidden="1"/>
    <row r="143" spans="15:15" hidden="1"/>
    <row r="144" spans="15:15" hidden="1">
      <c r="O144" s="54"/>
    </row>
  </sheetData>
  <sheetProtection algorithmName="SHA-512" hashValue="SGmpgu2va+Av1D5NVxIU9yqaDWj+i8RHTcjvZcHANqUNW37GBQ4cQ8auHT3oek+zXUqUYfsr8pj+bnxPORVCRg==" saltValue="ZhRrAS+lHUHcKnI/uJMsDg==" spinCount="100000" sheet="1" objects="1" scenarios="1"/>
  <mergeCells count="25">
    <mergeCell ref="M118:M119"/>
    <mergeCell ref="N118:N119"/>
    <mergeCell ref="E71:F71"/>
    <mergeCell ref="D124:F124"/>
    <mergeCell ref="G124:I124"/>
    <mergeCell ref="E99:F99"/>
    <mergeCell ref="A118:E119"/>
    <mergeCell ref="F118:K119"/>
    <mergeCell ref="A100:B101"/>
    <mergeCell ref="E22:F22"/>
    <mergeCell ref="A29:M29"/>
    <mergeCell ref="C30:L30"/>
    <mergeCell ref="I38:J38"/>
    <mergeCell ref="E45:F45"/>
    <mergeCell ref="E25:F25"/>
    <mergeCell ref="E15:F15"/>
    <mergeCell ref="M15:N15"/>
    <mergeCell ref="A18:D18"/>
    <mergeCell ref="E18:F18"/>
    <mergeCell ref="M18:N18"/>
    <mergeCell ref="A1:J1"/>
    <mergeCell ref="A2:J2"/>
    <mergeCell ref="C5:D5"/>
    <mergeCell ref="H5:I5"/>
    <mergeCell ref="H7:I7"/>
  </mergeCells>
  <pageMargins left="0.25" right="0.25" top="0.75" bottom="0.75" header="0.3" footer="0.3"/>
  <pageSetup scale="56" fitToHeight="4" orientation="portrait" r:id="rId1"/>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drawing r:id="rId2"/>
  <legacyDrawing r:id="rId3"/>
  <controls>
    <mc:AlternateContent xmlns:mc="http://schemas.openxmlformats.org/markup-compatibility/2006">
      <mc:Choice Requires="x14">
        <control shapeId="68648" r:id="rId4" name="CommandButton1">
          <controlPr defaultSize="0" autoLine="0" r:id="rId5">
            <anchor moveWithCells="1">
              <from>
                <xdr:col>11</xdr:col>
                <xdr:colOff>336550</xdr:colOff>
                <xdr:row>119</xdr:row>
                <xdr:rowOff>114300</xdr:rowOff>
              </from>
              <to>
                <xdr:col>14</xdr:col>
                <xdr:colOff>546100</xdr:colOff>
                <xdr:row>122</xdr:row>
                <xdr:rowOff>114300</xdr:rowOff>
              </to>
            </anchor>
          </controlPr>
        </control>
      </mc:Choice>
      <mc:Fallback>
        <control shapeId="68648" r:id="rId4" name="CommandButton1"/>
      </mc:Fallback>
    </mc:AlternateContent>
    <mc:AlternateContent xmlns:mc="http://schemas.openxmlformats.org/markup-compatibility/2006">
      <mc:Choice Requires="x14">
        <control shapeId="68635" r:id="rId6" name="OptionButton10">
          <controlPr defaultSize="0" autoLine="0" r:id="rId7">
            <anchor moveWithCells="1">
              <from>
                <xdr:col>1</xdr:col>
                <xdr:colOff>107950</xdr:colOff>
                <xdr:row>44</xdr:row>
                <xdr:rowOff>0</xdr:rowOff>
              </from>
              <to>
                <xdr:col>2</xdr:col>
                <xdr:colOff>95250</xdr:colOff>
                <xdr:row>45</xdr:row>
                <xdr:rowOff>76200</xdr:rowOff>
              </to>
            </anchor>
          </controlPr>
        </control>
      </mc:Choice>
      <mc:Fallback>
        <control shapeId="68635" r:id="rId6" name="OptionButton10"/>
      </mc:Fallback>
    </mc:AlternateContent>
    <mc:AlternateContent xmlns:mc="http://schemas.openxmlformats.org/markup-compatibility/2006">
      <mc:Choice Requires="x14">
        <control shapeId="68626" r:id="rId8" name="OptionButton7">
          <controlPr defaultSize="0" autoLine="0" r:id="rId9">
            <anchor moveWithCells="1">
              <from>
                <xdr:col>1</xdr:col>
                <xdr:colOff>107950</xdr:colOff>
                <xdr:row>70</xdr:row>
                <xdr:rowOff>0</xdr:rowOff>
              </from>
              <to>
                <xdr:col>2</xdr:col>
                <xdr:colOff>95250</xdr:colOff>
                <xdr:row>71</xdr:row>
                <xdr:rowOff>76200</xdr:rowOff>
              </to>
            </anchor>
          </controlPr>
        </control>
      </mc:Choice>
      <mc:Fallback>
        <control shapeId="68626" r:id="rId8" name="OptionButton7"/>
      </mc:Fallback>
    </mc:AlternateContent>
    <mc:AlternateContent xmlns:mc="http://schemas.openxmlformats.org/markup-compatibility/2006">
      <mc:Choice Requires="x14">
        <control shapeId="68610" r:id="rId10" name="OptionButton2">
          <controlPr defaultSize="0" autoLine="0" r:id="rId11">
            <anchor moveWithCells="1">
              <from>
                <xdr:col>6</xdr:col>
                <xdr:colOff>0</xdr:colOff>
                <xdr:row>19</xdr:row>
                <xdr:rowOff>222250</xdr:rowOff>
              </from>
              <to>
                <xdr:col>10</xdr:col>
                <xdr:colOff>279400</xdr:colOff>
                <xdr:row>20</xdr:row>
                <xdr:rowOff>209550</xdr:rowOff>
              </to>
            </anchor>
          </controlPr>
        </control>
      </mc:Choice>
      <mc:Fallback>
        <control shapeId="68610" r:id="rId10" name="OptionButton2"/>
      </mc:Fallback>
    </mc:AlternateContent>
    <mc:AlternateContent xmlns:mc="http://schemas.openxmlformats.org/markup-compatibility/2006">
      <mc:Choice Requires="x14">
        <control shapeId="68609" r:id="rId12" name="OptionButton1">
          <controlPr defaultSize="0" autoLine="0" autoPict="0" r:id="rId13">
            <anchor moveWithCells="1">
              <from>
                <xdr:col>2</xdr:col>
                <xdr:colOff>1041400</xdr:colOff>
                <xdr:row>19</xdr:row>
                <xdr:rowOff>228600</xdr:rowOff>
              </from>
              <to>
                <xdr:col>6</xdr:col>
                <xdr:colOff>431800</xdr:colOff>
                <xdr:row>20</xdr:row>
                <xdr:rowOff>146050</xdr:rowOff>
              </to>
            </anchor>
          </controlPr>
        </control>
      </mc:Choice>
      <mc:Fallback>
        <control shapeId="68609" r:id="rId12" name="OptionButton1"/>
      </mc:Fallback>
    </mc:AlternateContent>
    <mc:AlternateContent xmlns:mc="http://schemas.openxmlformats.org/markup-compatibility/2006">
      <mc:Choice Requires="x14">
        <control shapeId="68611" r:id="rId14" name="Group Box 3">
          <controlPr defaultSize="0" autoFill="0" autoPict="0">
            <anchor moveWithCells="1">
              <from>
                <xdr:col>0</xdr:col>
                <xdr:colOff>12700</xdr:colOff>
                <xdr:row>19</xdr:row>
                <xdr:rowOff>57150</xdr:rowOff>
              </from>
              <to>
                <xdr:col>7</xdr:col>
                <xdr:colOff>171450</xdr:colOff>
                <xdr:row>20</xdr:row>
                <xdr:rowOff>336550</xdr:rowOff>
              </to>
            </anchor>
          </controlPr>
        </control>
      </mc:Choice>
    </mc:AlternateContent>
    <mc:AlternateContent xmlns:mc="http://schemas.openxmlformats.org/markup-compatibility/2006">
      <mc:Choice Requires="x14">
        <control shapeId="68612" r:id="rId15" name="Check Box 4">
          <controlPr defaultSize="0" autoFill="0" autoLine="0" autoPict="0">
            <anchor moveWithCells="1">
              <from>
                <xdr:col>7</xdr:col>
                <xdr:colOff>533400</xdr:colOff>
                <xdr:row>21</xdr:row>
                <xdr:rowOff>127000</xdr:rowOff>
              </from>
              <to>
                <xdr:col>9</xdr:col>
                <xdr:colOff>50800</xdr:colOff>
                <xdr:row>22</xdr:row>
                <xdr:rowOff>0</xdr:rowOff>
              </to>
            </anchor>
          </controlPr>
        </control>
      </mc:Choice>
    </mc:AlternateContent>
    <mc:AlternateContent xmlns:mc="http://schemas.openxmlformats.org/markup-compatibility/2006">
      <mc:Choice Requires="x14">
        <control shapeId="68613" r:id="rId16" name="Check Box 5">
          <controlPr defaultSize="0" autoFill="0" autoLine="0" autoPict="0">
            <anchor moveWithCells="1">
              <from>
                <xdr:col>9</xdr:col>
                <xdr:colOff>419100</xdr:colOff>
                <xdr:row>21</xdr:row>
                <xdr:rowOff>127000</xdr:rowOff>
              </from>
              <to>
                <xdr:col>10</xdr:col>
                <xdr:colOff>990600</xdr:colOff>
                <xdr:row>22</xdr:row>
                <xdr:rowOff>0</xdr:rowOff>
              </to>
            </anchor>
          </controlPr>
        </control>
      </mc:Choice>
    </mc:AlternateContent>
    <mc:AlternateContent xmlns:mc="http://schemas.openxmlformats.org/markup-compatibility/2006">
      <mc:Choice Requires="x14">
        <control shapeId="68617" r:id="rId17" name="Group Box 9">
          <controlPr defaultSize="0" autoFill="0" autoPict="0">
            <anchor moveWithCells="1">
              <from>
                <xdr:col>0</xdr:col>
                <xdr:colOff>50800</xdr:colOff>
                <xdr:row>65</xdr:row>
                <xdr:rowOff>0</xdr:rowOff>
              </from>
              <to>
                <xdr:col>4</xdr:col>
                <xdr:colOff>336550</xdr:colOff>
                <xdr:row>69</xdr:row>
                <xdr:rowOff>95250</xdr:rowOff>
              </to>
            </anchor>
          </controlPr>
        </control>
      </mc:Choice>
    </mc:AlternateContent>
    <mc:AlternateContent xmlns:mc="http://schemas.openxmlformats.org/markup-compatibility/2006">
      <mc:Choice Requires="x14">
        <control shapeId="68618" r:id="rId18" name="Option Button 10">
          <controlPr defaultSize="0" autoFill="0" autoLine="0" autoPict="0">
            <anchor moveWithCells="1">
              <from>
                <xdr:col>4</xdr:col>
                <xdr:colOff>419100</xdr:colOff>
                <xdr:row>65</xdr:row>
                <xdr:rowOff>0</xdr:rowOff>
              </from>
              <to>
                <xdr:col>5</xdr:col>
                <xdr:colOff>50800</xdr:colOff>
                <xdr:row>66</xdr:row>
                <xdr:rowOff>50800</xdr:rowOff>
              </to>
            </anchor>
          </controlPr>
        </control>
      </mc:Choice>
    </mc:AlternateContent>
    <mc:AlternateContent xmlns:mc="http://schemas.openxmlformats.org/markup-compatibility/2006">
      <mc:Choice Requires="x14">
        <control shapeId="68619" r:id="rId19" name="Option Button 11">
          <controlPr defaultSize="0" autoFill="0" autoLine="0" autoPict="0">
            <anchor moveWithCells="1">
              <from>
                <xdr:col>5</xdr:col>
                <xdr:colOff>571500</xdr:colOff>
                <xdr:row>65</xdr:row>
                <xdr:rowOff>0</xdr:rowOff>
              </from>
              <to>
                <xdr:col>6</xdr:col>
                <xdr:colOff>0</xdr:colOff>
                <xdr:row>66</xdr:row>
                <xdr:rowOff>0</xdr:rowOff>
              </to>
            </anchor>
          </controlPr>
        </control>
      </mc:Choice>
    </mc:AlternateContent>
    <mc:AlternateContent xmlns:mc="http://schemas.openxmlformats.org/markup-compatibility/2006">
      <mc:Choice Requires="x14">
        <control shapeId="68620" r:id="rId20" name="Group Box 12">
          <controlPr defaultSize="0" autoFill="0" autoPict="0">
            <anchor moveWithCells="1">
              <from>
                <xdr:col>4</xdr:col>
                <xdr:colOff>361950</xdr:colOff>
                <xdr:row>65</xdr:row>
                <xdr:rowOff>0</xdr:rowOff>
              </from>
              <to>
                <xdr:col>6</xdr:col>
                <xdr:colOff>533400</xdr:colOff>
                <xdr:row>67</xdr:row>
                <xdr:rowOff>152400</xdr:rowOff>
              </to>
            </anchor>
          </controlPr>
        </control>
      </mc:Choice>
    </mc:AlternateContent>
    <mc:AlternateContent xmlns:mc="http://schemas.openxmlformats.org/markup-compatibility/2006">
      <mc:Choice Requires="x14">
        <control shapeId="68621" r:id="rId21" name="Group Box 13">
          <controlPr defaultSize="0" autoFill="0" autoPict="0">
            <anchor moveWithCells="1">
              <from>
                <xdr:col>0</xdr:col>
                <xdr:colOff>374650</xdr:colOff>
                <xdr:row>65</xdr:row>
                <xdr:rowOff>0</xdr:rowOff>
              </from>
              <to>
                <xdr:col>4</xdr:col>
                <xdr:colOff>336550</xdr:colOff>
                <xdr:row>68</xdr:row>
                <xdr:rowOff>95250</xdr:rowOff>
              </to>
            </anchor>
          </controlPr>
        </control>
      </mc:Choice>
    </mc:AlternateContent>
    <mc:AlternateContent xmlns:mc="http://schemas.openxmlformats.org/markup-compatibility/2006">
      <mc:Choice Requires="x14">
        <control shapeId="68622" r:id="rId22" name="Option Button 14">
          <controlPr defaultSize="0" autoFill="0" autoLine="0" autoPict="0">
            <anchor moveWithCells="1">
              <from>
                <xdr:col>4</xdr:col>
                <xdr:colOff>419100</xdr:colOff>
                <xdr:row>65</xdr:row>
                <xdr:rowOff>0</xdr:rowOff>
              </from>
              <to>
                <xdr:col>5</xdr:col>
                <xdr:colOff>50800</xdr:colOff>
                <xdr:row>66</xdr:row>
                <xdr:rowOff>50800</xdr:rowOff>
              </to>
            </anchor>
          </controlPr>
        </control>
      </mc:Choice>
    </mc:AlternateContent>
    <mc:AlternateContent xmlns:mc="http://schemas.openxmlformats.org/markup-compatibility/2006">
      <mc:Choice Requires="x14">
        <control shapeId="68623" r:id="rId23" name="Option Button 15">
          <controlPr defaultSize="0" autoFill="0" autoLine="0" autoPict="0">
            <anchor moveWithCells="1">
              <from>
                <xdr:col>5</xdr:col>
                <xdr:colOff>571500</xdr:colOff>
                <xdr:row>65</xdr:row>
                <xdr:rowOff>0</xdr:rowOff>
              </from>
              <to>
                <xdr:col>6</xdr:col>
                <xdr:colOff>0</xdr:colOff>
                <xdr:row>66</xdr:row>
                <xdr:rowOff>0</xdr:rowOff>
              </to>
            </anchor>
          </controlPr>
        </control>
      </mc:Choice>
    </mc:AlternateContent>
    <mc:AlternateContent xmlns:mc="http://schemas.openxmlformats.org/markup-compatibility/2006">
      <mc:Choice Requires="x14">
        <control shapeId="68624" r:id="rId24" name="Group Box 16">
          <controlPr defaultSize="0" autoFill="0" autoPict="0">
            <anchor moveWithCells="1">
              <from>
                <xdr:col>4</xdr:col>
                <xdr:colOff>266700</xdr:colOff>
                <xdr:row>65</xdr:row>
                <xdr:rowOff>0</xdr:rowOff>
              </from>
              <to>
                <xdr:col>6</xdr:col>
                <xdr:colOff>323850</xdr:colOff>
                <xdr:row>67</xdr:row>
                <xdr:rowOff>165100</xdr:rowOff>
              </to>
            </anchor>
          </controlPr>
        </control>
      </mc:Choice>
    </mc:AlternateContent>
    <mc:AlternateContent xmlns:mc="http://schemas.openxmlformats.org/markup-compatibility/2006">
      <mc:Choice Requires="x14">
        <control shapeId="68628" r:id="rId25" name="Group Box 20">
          <controlPr defaultSize="0" autoFill="0" autoPict="0">
            <anchor moveWithCells="1">
              <from>
                <xdr:col>0</xdr:col>
                <xdr:colOff>317500</xdr:colOff>
                <xdr:row>68</xdr:row>
                <xdr:rowOff>209550</xdr:rowOff>
              </from>
              <to>
                <xdr:col>4</xdr:col>
                <xdr:colOff>336550</xdr:colOff>
                <xdr:row>72</xdr:row>
                <xdr:rowOff>12700</xdr:rowOff>
              </to>
            </anchor>
          </controlPr>
        </control>
      </mc:Choice>
    </mc:AlternateContent>
    <mc:AlternateContent xmlns:mc="http://schemas.openxmlformats.org/markup-compatibility/2006">
      <mc:Choice Requires="x14">
        <control shapeId="68629" r:id="rId26" name="Option Button 21">
          <controlPr defaultSize="0" autoFill="0" autoLine="0" autoPict="0">
            <anchor moveWithCells="1">
              <from>
                <xdr:col>2</xdr:col>
                <xdr:colOff>889000</xdr:colOff>
                <xdr:row>37</xdr:row>
                <xdr:rowOff>127000</xdr:rowOff>
              </from>
              <to>
                <xdr:col>3</xdr:col>
                <xdr:colOff>889000</xdr:colOff>
                <xdr:row>38</xdr:row>
                <xdr:rowOff>127000</xdr:rowOff>
              </to>
            </anchor>
          </controlPr>
        </control>
      </mc:Choice>
    </mc:AlternateContent>
    <mc:AlternateContent xmlns:mc="http://schemas.openxmlformats.org/markup-compatibility/2006">
      <mc:Choice Requires="x14">
        <control shapeId="68630" r:id="rId27" name="Option Button 22">
          <controlPr defaultSize="0" autoFill="0" autoLine="0" autoPict="0">
            <anchor moveWithCells="1">
              <from>
                <xdr:col>2</xdr:col>
                <xdr:colOff>831850</xdr:colOff>
                <xdr:row>37</xdr:row>
                <xdr:rowOff>69850</xdr:rowOff>
              </from>
              <to>
                <xdr:col>4</xdr:col>
                <xdr:colOff>12700</xdr:colOff>
                <xdr:row>38</xdr:row>
                <xdr:rowOff>69850</xdr:rowOff>
              </to>
            </anchor>
          </controlPr>
        </control>
      </mc:Choice>
    </mc:AlternateContent>
    <mc:AlternateContent xmlns:mc="http://schemas.openxmlformats.org/markup-compatibility/2006">
      <mc:Choice Requires="x14">
        <control shapeId="68631" r:id="rId28" name="Option Button 23">
          <controlPr defaultSize="0" autoFill="0" autoLine="0" autoPict="0">
            <anchor moveWithCells="1">
              <from>
                <xdr:col>4</xdr:col>
                <xdr:colOff>95250</xdr:colOff>
                <xdr:row>37</xdr:row>
                <xdr:rowOff>69850</xdr:rowOff>
              </from>
              <to>
                <xdr:col>5</xdr:col>
                <xdr:colOff>476250</xdr:colOff>
                <xdr:row>38</xdr:row>
                <xdr:rowOff>69850</xdr:rowOff>
              </to>
            </anchor>
          </controlPr>
        </control>
      </mc:Choice>
    </mc:AlternateContent>
    <mc:AlternateContent xmlns:mc="http://schemas.openxmlformats.org/markup-compatibility/2006">
      <mc:Choice Requires="x14">
        <control shapeId="68633" r:id="rId29" name="Group Box 25">
          <controlPr defaultSize="0" autoFill="0" autoPict="0">
            <anchor moveWithCells="1">
              <from>
                <xdr:col>2</xdr:col>
                <xdr:colOff>533400</xdr:colOff>
                <xdr:row>36</xdr:row>
                <xdr:rowOff>266700</xdr:rowOff>
              </from>
              <to>
                <xdr:col>14</xdr:col>
                <xdr:colOff>927100</xdr:colOff>
                <xdr:row>39</xdr:row>
                <xdr:rowOff>50800</xdr:rowOff>
              </to>
            </anchor>
          </controlPr>
        </control>
      </mc:Choice>
    </mc:AlternateContent>
    <mc:AlternateContent xmlns:mc="http://schemas.openxmlformats.org/markup-compatibility/2006">
      <mc:Choice Requires="x14">
        <control shapeId="68637" r:id="rId30" name="Group Box 29">
          <controlPr defaultSize="0" autoFill="0" autoPict="0">
            <anchor moveWithCells="1">
              <from>
                <xdr:col>0</xdr:col>
                <xdr:colOff>571500</xdr:colOff>
                <xdr:row>42</xdr:row>
                <xdr:rowOff>209550</xdr:rowOff>
              </from>
              <to>
                <xdr:col>4</xdr:col>
                <xdr:colOff>336550</xdr:colOff>
                <xdr:row>46</xdr:row>
                <xdr:rowOff>12700</xdr:rowOff>
              </to>
            </anchor>
          </controlPr>
        </control>
      </mc:Choice>
    </mc:AlternateContent>
    <mc:AlternateContent xmlns:mc="http://schemas.openxmlformats.org/markup-compatibility/2006">
      <mc:Choice Requires="x14">
        <control shapeId="68710" r:id="rId31" name="Check Box 102">
          <controlPr defaultSize="0" autoFill="0" autoLine="0" autoPict="0">
            <anchor moveWithCells="1">
              <from>
                <xdr:col>1</xdr:col>
                <xdr:colOff>927100</xdr:colOff>
                <xdr:row>9</xdr:row>
                <xdr:rowOff>114300</xdr:rowOff>
              </from>
              <to>
                <xdr:col>3</xdr:col>
                <xdr:colOff>0</xdr:colOff>
                <xdr:row>10</xdr:row>
                <xdr:rowOff>0</xdr:rowOff>
              </to>
            </anchor>
          </controlPr>
        </control>
      </mc:Choice>
    </mc:AlternateContent>
    <mc:AlternateContent xmlns:mc="http://schemas.openxmlformats.org/markup-compatibility/2006">
      <mc:Choice Requires="x14">
        <control shapeId="68712" r:id="rId32" name="Check Box 104">
          <controlPr defaultSize="0" autoFill="0" autoLine="0" autoPict="0">
            <anchor moveWithCells="1">
              <from>
                <xdr:col>1</xdr:col>
                <xdr:colOff>0</xdr:colOff>
                <xdr:row>9</xdr:row>
                <xdr:rowOff>114300</xdr:rowOff>
              </from>
              <to>
                <xdr:col>1</xdr:col>
                <xdr:colOff>450850</xdr:colOff>
                <xdr:row>10</xdr:row>
                <xdr:rowOff>0</xdr:rowOff>
              </to>
            </anchor>
          </controlPr>
        </control>
      </mc:Choice>
    </mc:AlternateContent>
    <mc:AlternateContent xmlns:mc="http://schemas.openxmlformats.org/markup-compatibility/2006">
      <mc:Choice Requires="x14">
        <control shapeId="68713" r:id="rId33" name="Check Box 105">
          <controlPr defaultSize="0" autoFill="0" autoLine="0" autoPict="0">
            <anchor moveWithCells="1">
              <from>
                <xdr:col>3</xdr:col>
                <xdr:colOff>1009650</xdr:colOff>
                <xdr:row>9</xdr:row>
                <xdr:rowOff>95250</xdr:rowOff>
              </from>
              <to>
                <xdr:col>5</xdr:col>
                <xdr:colOff>146050</xdr:colOff>
                <xdr:row>10</xdr:row>
                <xdr:rowOff>0</xdr:rowOff>
              </to>
            </anchor>
          </controlPr>
        </control>
      </mc:Choice>
    </mc:AlternateContent>
    <mc:AlternateContent xmlns:mc="http://schemas.openxmlformats.org/markup-compatibility/2006">
      <mc:Choice Requires="x14">
        <control shapeId="68714" r:id="rId34" name="Check Box 106">
          <controlPr defaultSize="0" autoFill="0" autoLine="0" autoPict="0">
            <anchor moveWithCells="1">
              <from>
                <xdr:col>3</xdr:col>
                <xdr:colOff>88900</xdr:colOff>
                <xdr:row>9</xdr:row>
                <xdr:rowOff>114300</xdr:rowOff>
              </from>
              <to>
                <xdr:col>3</xdr:col>
                <xdr:colOff>1028700</xdr:colOff>
                <xdr:row>10</xdr:row>
                <xdr:rowOff>0</xdr:rowOff>
              </to>
            </anchor>
          </controlPr>
        </control>
      </mc:Choice>
    </mc:AlternateContent>
    <mc:AlternateContent xmlns:mc="http://schemas.openxmlformats.org/markup-compatibility/2006">
      <mc:Choice Requires="x14">
        <control shapeId="68715" r:id="rId35" name="Group Box 107">
          <controlPr defaultSize="0" autoFill="0" autoPict="0">
            <anchor moveWithCells="1">
              <from>
                <xdr:col>0</xdr:col>
                <xdr:colOff>50800</xdr:colOff>
                <xdr:row>96</xdr:row>
                <xdr:rowOff>0</xdr:rowOff>
              </from>
              <to>
                <xdr:col>4</xdr:col>
                <xdr:colOff>336550</xdr:colOff>
                <xdr:row>100</xdr:row>
                <xdr:rowOff>146050</xdr:rowOff>
              </to>
            </anchor>
          </controlPr>
        </control>
      </mc:Choice>
    </mc:AlternateContent>
    <mc:AlternateContent xmlns:mc="http://schemas.openxmlformats.org/markup-compatibility/2006">
      <mc:Choice Requires="x14">
        <control shapeId="68716" r:id="rId36" name="Option Button 108">
          <controlPr defaultSize="0" autoFill="0" autoLine="0" autoPict="0">
            <anchor moveWithCells="1">
              <from>
                <xdr:col>4</xdr:col>
                <xdr:colOff>419100</xdr:colOff>
                <xdr:row>103</xdr:row>
                <xdr:rowOff>0</xdr:rowOff>
              </from>
              <to>
                <xdr:col>5</xdr:col>
                <xdr:colOff>50800</xdr:colOff>
                <xdr:row>104</xdr:row>
                <xdr:rowOff>50800</xdr:rowOff>
              </to>
            </anchor>
          </controlPr>
        </control>
      </mc:Choice>
    </mc:AlternateContent>
    <mc:AlternateContent xmlns:mc="http://schemas.openxmlformats.org/markup-compatibility/2006">
      <mc:Choice Requires="x14">
        <control shapeId="68717" r:id="rId37" name="Option Button 109">
          <controlPr defaultSize="0" autoFill="0" autoLine="0" autoPict="0">
            <anchor moveWithCells="1">
              <from>
                <xdr:col>5</xdr:col>
                <xdr:colOff>571500</xdr:colOff>
                <xdr:row>103</xdr:row>
                <xdr:rowOff>12700</xdr:rowOff>
              </from>
              <to>
                <xdr:col>6</xdr:col>
                <xdr:colOff>0</xdr:colOff>
                <xdr:row>104</xdr:row>
                <xdr:rowOff>12700</xdr:rowOff>
              </to>
            </anchor>
          </controlPr>
        </control>
      </mc:Choice>
    </mc:AlternateContent>
    <mc:AlternateContent xmlns:mc="http://schemas.openxmlformats.org/markup-compatibility/2006">
      <mc:Choice Requires="x14">
        <control shapeId="68718" r:id="rId38" name="Group Box 110">
          <controlPr defaultSize="0" autoFill="0" autoPict="0">
            <anchor moveWithCells="1">
              <from>
                <xdr:col>4</xdr:col>
                <xdr:colOff>361950</xdr:colOff>
                <xdr:row>102</xdr:row>
                <xdr:rowOff>12700</xdr:rowOff>
              </from>
              <to>
                <xdr:col>6</xdr:col>
                <xdr:colOff>533400</xdr:colOff>
                <xdr:row>104</xdr:row>
                <xdr:rowOff>165100</xdr:rowOff>
              </to>
            </anchor>
          </controlPr>
        </control>
      </mc:Choice>
    </mc:AlternateContent>
    <mc:AlternateContent xmlns:mc="http://schemas.openxmlformats.org/markup-compatibility/2006">
      <mc:Choice Requires="x14">
        <control shapeId="68719" r:id="rId39" name="Group Box 111">
          <controlPr defaultSize="0" autoFill="0" autoPict="0">
            <anchor moveWithCells="1">
              <from>
                <xdr:col>0</xdr:col>
                <xdr:colOff>374650</xdr:colOff>
                <xdr:row>96</xdr:row>
                <xdr:rowOff>76200</xdr:rowOff>
              </from>
              <to>
                <xdr:col>4</xdr:col>
                <xdr:colOff>336550</xdr:colOff>
                <xdr:row>100</xdr:row>
                <xdr:rowOff>38100</xdr:rowOff>
              </to>
            </anchor>
          </controlPr>
        </control>
      </mc:Choice>
    </mc:AlternateContent>
    <mc:AlternateContent xmlns:mc="http://schemas.openxmlformats.org/markup-compatibility/2006">
      <mc:Choice Requires="x14">
        <control shapeId="68720" r:id="rId40" name="Option Button 112">
          <controlPr defaultSize="0" autoFill="0" autoLine="0" autoPict="0">
            <anchor moveWithCells="1">
              <from>
                <xdr:col>4</xdr:col>
                <xdr:colOff>419100</xdr:colOff>
                <xdr:row>106</xdr:row>
                <xdr:rowOff>0</xdr:rowOff>
              </from>
              <to>
                <xdr:col>5</xdr:col>
                <xdr:colOff>50800</xdr:colOff>
                <xdr:row>107</xdr:row>
                <xdr:rowOff>50800</xdr:rowOff>
              </to>
            </anchor>
          </controlPr>
        </control>
      </mc:Choice>
    </mc:AlternateContent>
    <mc:AlternateContent xmlns:mc="http://schemas.openxmlformats.org/markup-compatibility/2006">
      <mc:Choice Requires="x14">
        <control shapeId="68721" r:id="rId41" name="Option Button 113">
          <controlPr defaultSize="0" autoFill="0" autoLine="0" autoPict="0">
            <anchor moveWithCells="1">
              <from>
                <xdr:col>5</xdr:col>
                <xdr:colOff>571500</xdr:colOff>
                <xdr:row>106</xdr:row>
                <xdr:rowOff>12700</xdr:rowOff>
              </from>
              <to>
                <xdr:col>6</xdr:col>
                <xdr:colOff>0</xdr:colOff>
                <xdr:row>107</xdr:row>
                <xdr:rowOff>12700</xdr:rowOff>
              </to>
            </anchor>
          </controlPr>
        </control>
      </mc:Choice>
    </mc:AlternateContent>
    <mc:AlternateContent xmlns:mc="http://schemas.openxmlformats.org/markup-compatibility/2006">
      <mc:Choice Requires="x14">
        <control shapeId="68722" r:id="rId42" name="Group Box 114">
          <controlPr defaultSize="0" autoFill="0" autoPict="0">
            <anchor moveWithCells="1">
              <from>
                <xdr:col>4</xdr:col>
                <xdr:colOff>266700</xdr:colOff>
                <xdr:row>105</xdr:row>
                <xdr:rowOff>69850</xdr:rowOff>
              </from>
              <to>
                <xdr:col>6</xdr:col>
                <xdr:colOff>323850</xdr:colOff>
                <xdr:row>108</xdr:row>
                <xdr:rowOff>50800</xdr:rowOff>
              </to>
            </anchor>
          </controlPr>
        </control>
      </mc:Choice>
    </mc:AlternateContent>
  </control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0"/>
  <dimension ref="A1:O136"/>
  <sheetViews>
    <sheetView showGridLines="0" zoomScale="90" zoomScaleNormal="90" workbookViewId="0">
      <selection sqref="A1:J1"/>
    </sheetView>
  </sheetViews>
  <sheetFormatPr defaultColWidth="0" defaultRowHeight="14.5" customHeight="1" zeroHeight="1"/>
  <cols>
    <col min="1" max="1" width="15" style="38" customWidth="1"/>
    <col min="2" max="2" width="9.54296875" style="38" customWidth="1"/>
    <col min="3" max="3" width="11.54296875" style="38" customWidth="1"/>
    <col min="4" max="4" width="18.26953125" style="38" customWidth="1"/>
    <col min="5" max="5" width="10.54296875" style="38" customWidth="1"/>
    <col min="6" max="6" width="12" style="38" customWidth="1"/>
    <col min="7" max="7" width="11.54296875" style="38" customWidth="1"/>
    <col min="8" max="10" width="10.54296875" style="38" customWidth="1"/>
    <col min="11" max="11" width="19.54296875" style="38" customWidth="1"/>
    <col min="12" max="13" width="10.54296875" style="38" customWidth="1"/>
    <col min="14" max="14" width="9.1796875" style="38" customWidth="1"/>
    <col min="15" max="15" width="16.81640625" style="38" customWidth="1"/>
    <col min="16" max="16384" width="16.81640625" style="38" hidden="1"/>
  </cols>
  <sheetData>
    <row r="1" spans="1:15" ht="55" customHeight="1">
      <c r="A1" s="1410" t="str">
        <f>Development!$A$3&amp;" Residential Efficiency Program"</f>
        <v>2025 Residential Efficiency Program</v>
      </c>
      <c r="B1" s="1410"/>
      <c r="C1" s="1410"/>
      <c r="D1" s="1410"/>
      <c r="E1" s="1410"/>
      <c r="F1" s="1410"/>
      <c r="G1" s="1410"/>
      <c r="H1" s="1410"/>
      <c r="I1" s="1410"/>
      <c r="J1" s="1410"/>
      <c r="K1" s="6"/>
      <c r="L1" s="6"/>
      <c r="M1" s="6"/>
      <c r="N1" s="6"/>
      <c r="O1" s="6"/>
    </row>
    <row r="2" spans="1:15" ht="55" customHeight="1">
      <c r="A2" s="1418" t="s">
        <v>100</v>
      </c>
      <c r="B2" s="1418"/>
      <c r="C2" s="1418"/>
      <c r="D2" s="1418"/>
      <c r="E2" s="1418"/>
      <c r="F2" s="1418"/>
      <c r="G2" s="1418"/>
      <c r="H2" s="1418"/>
      <c r="I2" s="1418"/>
      <c r="J2" s="1418"/>
      <c r="K2" s="7"/>
      <c r="L2" s="7"/>
      <c r="M2" s="7"/>
      <c r="N2" s="7"/>
      <c r="O2" s="7"/>
    </row>
    <row r="3" spans="1:15" ht="23.5" thickBot="1">
      <c r="A3" s="23" t="s">
        <v>102</v>
      </c>
      <c r="B3" s="23"/>
      <c r="C3" s="23"/>
      <c r="D3" s="23"/>
      <c r="E3" s="23"/>
      <c r="F3" s="23"/>
      <c r="G3" s="23"/>
      <c r="H3" s="23"/>
      <c r="I3" s="23"/>
      <c r="J3" s="23"/>
      <c r="K3" s="23"/>
      <c r="L3" s="23"/>
      <c r="M3" s="23"/>
      <c r="N3" s="23"/>
      <c r="O3" s="23"/>
    </row>
    <row r="4" spans="1:15" ht="18.75" customHeight="1">
      <c r="A4" s="24"/>
      <c r="B4" s="24"/>
      <c r="C4" s="24"/>
      <c r="D4" s="24"/>
      <c r="E4" s="24"/>
      <c r="F4" s="24"/>
      <c r="G4" s="24"/>
      <c r="H4" s="24"/>
      <c r="I4" s="24"/>
      <c r="J4" s="24"/>
      <c r="K4" s="24"/>
      <c r="L4" s="24"/>
      <c r="M4" s="24"/>
      <c r="N4" s="24"/>
      <c r="O4" s="24"/>
    </row>
    <row r="5" spans="1:15" ht="18" customHeight="1">
      <c r="A5" s="19" t="s">
        <v>104</v>
      </c>
      <c r="B5" s="91" t="e">
        <f>#REF!</f>
        <v>#REF!</v>
      </c>
      <c r="C5" s="1433"/>
      <c r="D5" s="1433"/>
      <c r="E5" s="19"/>
      <c r="F5" s="19"/>
      <c r="G5" s="19" t="s">
        <v>57</v>
      </c>
      <c r="H5" s="1426" t="e">
        <f>IF(#REF!="","",#REF!)</f>
        <v>#REF!</v>
      </c>
      <c r="I5" s="1426"/>
      <c r="J5" s="15"/>
      <c r="K5" s="7"/>
      <c r="L5" s="7"/>
      <c r="M5" s="7"/>
      <c r="N5" s="7"/>
      <c r="O5" s="7"/>
    </row>
    <row r="6" spans="1:15" ht="18" customHeight="1">
      <c r="A6" s="19"/>
      <c r="B6" s="19"/>
      <c r="C6" s="19"/>
      <c r="D6" s="19"/>
      <c r="E6" s="19"/>
      <c r="F6" s="19"/>
      <c r="G6" s="19"/>
      <c r="H6" s="19"/>
      <c r="I6" s="15"/>
      <c r="J6" s="15"/>
      <c r="K6" s="7"/>
      <c r="L6" s="7"/>
      <c r="M6" s="7"/>
      <c r="N6" s="7"/>
      <c r="O6" s="7"/>
    </row>
    <row r="7" spans="1:15" ht="18" customHeight="1">
      <c r="B7" s="19"/>
      <c r="D7" s="19"/>
      <c r="E7" s="19"/>
      <c r="F7" s="19"/>
      <c r="G7" s="19" t="s">
        <v>103</v>
      </c>
      <c r="H7" s="1426" t="e">
        <f>IF(#REF!="","",#REF!)</f>
        <v>#REF!</v>
      </c>
      <c r="I7" s="1426"/>
      <c r="J7" s="15"/>
      <c r="K7" s="7"/>
      <c r="L7" s="7"/>
      <c r="M7" s="7"/>
      <c r="N7" s="7"/>
      <c r="O7" s="7"/>
    </row>
    <row r="8" spans="1:15" ht="23">
      <c r="A8" s="21" t="s">
        <v>101</v>
      </c>
      <c r="B8" s="20"/>
      <c r="C8" s="20"/>
      <c r="D8" s="20"/>
      <c r="E8" s="20"/>
      <c r="F8" s="20"/>
      <c r="G8" s="20"/>
      <c r="H8" s="20"/>
      <c r="I8" s="20"/>
      <c r="J8" s="20"/>
      <c r="K8" s="20"/>
      <c r="L8" s="20"/>
      <c r="M8" s="13"/>
      <c r="N8" s="20"/>
      <c r="O8" s="20"/>
    </row>
    <row r="9" spans="1:15" ht="30.5">
      <c r="A9" s="15"/>
      <c r="B9" s="65" t="s">
        <v>26</v>
      </c>
      <c r="C9" s="66"/>
      <c r="D9" s="65" t="s">
        <v>27</v>
      </c>
      <c r="E9" s="67"/>
      <c r="F9" s="15"/>
      <c r="G9" s="15"/>
      <c r="H9" s="15"/>
      <c r="I9" s="15"/>
      <c r="J9" s="15"/>
      <c r="K9" s="7"/>
      <c r="L9" s="7"/>
      <c r="M9" s="7"/>
      <c r="N9" s="7"/>
      <c r="O9" s="7"/>
    </row>
    <row r="10" spans="1:15" ht="24" customHeight="1">
      <c r="A10" s="7"/>
      <c r="B10" s="22"/>
      <c r="C10" s="22"/>
      <c r="D10" s="22"/>
      <c r="E10" s="22"/>
      <c r="G10" s="17"/>
      <c r="H10" s="17"/>
      <c r="J10" s="7"/>
      <c r="K10" s="7"/>
      <c r="L10" s="7"/>
      <c r="M10" s="7"/>
      <c r="N10" s="7"/>
      <c r="O10" s="7"/>
    </row>
    <row r="11" spans="1:15" ht="23.5" thickBot="1">
      <c r="A11" s="18" t="s">
        <v>48</v>
      </c>
      <c r="B11" s="18"/>
      <c r="C11" s="18"/>
      <c r="D11" s="18"/>
      <c r="E11" s="18"/>
      <c r="F11" s="18"/>
      <c r="G11" s="18"/>
      <c r="H11" s="18"/>
      <c r="I11" s="18"/>
      <c r="J11" s="18"/>
      <c r="K11" s="18"/>
      <c r="L11" s="18"/>
      <c r="M11" s="18"/>
      <c r="N11" s="18"/>
      <c r="O11" s="18"/>
    </row>
    <row r="12" spans="1:15" ht="6.75" customHeight="1">
      <c r="A12" s="4"/>
      <c r="B12" s="5"/>
      <c r="C12" s="5"/>
      <c r="D12" s="5"/>
      <c r="E12" s="5"/>
      <c r="F12" s="5"/>
      <c r="G12" s="5"/>
      <c r="H12" s="5"/>
      <c r="I12" s="5"/>
      <c r="J12" s="5"/>
      <c r="K12" s="5"/>
      <c r="L12" s="5"/>
      <c r="M12" s="5"/>
      <c r="N12" s="5"/>
      <c r="O12" s="5"/>
    </row>
    <row r="13" spans="1:15" ht="27.75" customHeight="1">
      <c r="A13" s="126" t="s">
        <v>299</v>
      </c>
      <c r="B13" s="5"/>
      <c r="C13" s="5"/>
      <c r="D13" s="5"/>
      <c r="E13" s="5"/>
      <c r="F13" s="5"/>
      <c r="G13" s="5"/>
      <c r="H13" s="5"/>
      <c r="I13" s="5"/>
      <c r="J13" s="5"/>
      <c r="K13" s="5"/>
      <c r="L13" s="5"/>
      <c r="M13" s="5"/>
      <c r="N13" s="5"/>
      <c r="O13" s="5"/>
    </row>
    <row r="14" spans="1:15" ht="27.75" customHeight="1">
      <c r="A14" s="126"/>
      <c r="B14" s="5"/>
      <c r="C14" s="5"/>
      <c r="D14" s="5"/>
      <c r="E14" s="5"/>
      <c r="F14" s="5"/>
      <c r="G14" s="5"/>
      <c r="H14" s="5"/>
      <c r="I14" s="5"/>
      <c r="J14" s="5"/>
      <c r="K14" s="5"/>
      <c r="L14" s="5"/>
      <c r="M14" s="5"/>
      <c r="N14" s="5"/>
      <c r="O14" s="5"/>
    </row>
    <row r="15" spans="1:15" ht="33.65" customHeight="1">
      <c r="A15" s="38" t="s">
        <v>334</v>
      </c>
      <c r="E15" s="1211"/>
      <c r="F15" s="1211"/>
      <c r="G15" s="38" t="str">
        <f>IF(OR(E15=""),"",'Air Flow References'!AT4)</f>
        <v/>
      </c>
      <c r="L15" s="39" t="s">
        <v>335</v>
      </c>
      <c r="M15" s="1403"/>
      <c r="N15" s="1403"/>
      <c r="O15" s="38" t="str">
        <f>IF(OR(M15=""),"",'Air Flow References'!AT6)</f>
        <v/>
      </c>
    </row>
    <row r="16" spans="1:15" ht="33.65" customHeight="1"/>
    <row r="17" spans="1:15" ht="33.65" customHeight="1">
      <c r="A17" s="125" t="s">
        <v>351</v>
      </c>
    </row>
    <row r="18" spans="1:15" ht="33.65" customHeight="1">
      <c r="A18" s="1354" t="s">
        <v>336</v>
      </c>
      <c r="B18" s="1354"/>
      <c r="C18" s="1354"/>
      <c r="D18" s="1354"/>
      <c r="E18" s="1404"/>
      <c r="F18" s="1404"/>
      <c r="G18" s="38" t="str">
        <f>IF(OR(E18=""),"",'Air Flow References'!AT5)</f>
        <v/>
      </c>
      <c r="H18" s="41"/>
      <c r="I18" s="41" t="s">
        <v>296</v>
      </c>
      <c r="L18" s="39" t="s">
        <v>337</v>
      </c>
      <c r="M18" s="1211"/>
      <c r="N18" s="1211"/>
      <c r="O18" s="38" t="str">
        <f>IF(OR(M18=""),"",'Air Flow References'!AT7)</f>
        <v/>
      </c>
    </row>
    <row r="19" spans="1:15" ht="33.65" customHeight="1"/>
    <row r="20" spans="1:15" ht="33.65" customHeight="1">
      <c r="A20" s="38" t="s">
        <v>340</v>
      </c>
    </row>
    <row r="21" spans="1:15" ht="33.65" customHeight="1"/>
    <row r="22" spans="1:15" ht="33.65" customHeight="1">
      <c r="A22" s="38" t="s">
        <v>341</v>
      </c>
      <c r="E22" s="1403"/>
      <c r="F22" s="1403"/>
      <c r="G22" s="38" t="str">
        <f>IF(OR(E22=""),"",'Air Flow References'!AT9)</f>
        <v/>
      </c>
      <c r="H22" s="68"/>
      <c r="I22" s="68"/>
      <c r="J22" s="68"/>
      <c r="K22" s="68"/>
    </row>
    <row r="23" spans="1:15" ht="33.65" customHeight="1">
      <c r="A23" s="137" t="s">
        <v>353</v>
      </c>
      <c r="E23" s="140"/>
      <c r="F23" s="140"/>
    </row>
    <row r="24" spans="1:15" ht="33.65" customHeight="1">
      <c r="E24" s="140"/>
      <c r="F24" s="140"/>
    </row>
    <row r="25" spans="1:15" ht="33.65" customHeight="1">
      <c r="A25" s="38" t="s">
        <v>342</v>
      </c>
      <c r="E25" s="1403"/>
      <c r="F25" s="1403"/>
      <c r="G25" s="38" t="str">
        <f>IF(OR(E25=""),"",'Air Flow References'!AT8)</f>
        <v/>
      </c>
    </row>
    <row r="26" spans="1:15" ht="33.65" customHeight="1">
      <c r="A26" s="137" t="s">
        <v>354</v>
      </c>
      <c r="E26" s="140"/>
      <c r="F26" s="140"/>
    </row>
    <row r="27" spans="1:15" ht="33.65" customHeight="1">
      <c r="E27" s="140"/>
      <c r="F27" s="140"/>
    </row>
    <row r="28" spans="1:15" ht="33.65" customHeight="1"/>
    <row r="29" spans="1:15">
      <c r="A29" s="1354" t="s">
        <v>44</v>
      </c>
      <c r="B29" s="1354"/>
      <c r="C29" s="1354"/>
      <c r="D29" s="1354"/>
      <c r="E29" s="1354"/>
      <c r="F29" s="1354"/>
      <c r="G29" s="1354"/>
      <c r="H29" s="1354"/>
      <c r="I29" s="1354"/>
      <c r="J29" s="1354"/>
      <c r="K29" s="1354"/>
      <c r="L29" s="1354"/>
      <c r="M29" s="1354"/>
    </row>
    <row r="30" spans="1:15" ht="33.65" customHeight="1">
      <c r="A30" s="38" t="s">
        <v>45</v>
      </c>
      <c r="C30" s="1409"/>
      <c r="D30" s="1409"/>
      <c r="E30" s="1409"/>
      <c r="F30" s="1409"/>
      <c r="G30" s="1409"/>
      <c r="H30" s="1409"/>
      <c r="I30" s="1409"/>
      <c r="J30" s="1409"/>
      <c r="K30" s="1409"/>
      <c r="L30" s="1409"/>
    </row>
    <row r="31" spans="1:15"/>
    <row r="32" spans="1:15">
      <c r="A32" s="41" t="s">
        <v>47</v>
      </c>
    </row>
    <row r="33" spans="1:15">
      <c r="A33" s="38" t="s">
        <v>1514</v>
      </c>
    </row>
    <row r="34" spans="1:15">
      <c r="A34" s="38" t="s">
        <v>46</v>
      </c>
    </row>
    <row r="35" spans="1:15"/>
    <row r="36" spans="1:15" ht="23.5" thickBot="1">
      <c r="A36" s="18" t="s">
        <v>178</v>
      </c>
      <c r="B36" s="18"/>
      <c r="C36" s="18"/>
      <c r="D36" s="18"/>
      <c r="E36" s="18"/>
      <c r="F36" s="18"/>
      <c r="G36" s="18"/>
      <c r="H36" s="18"/>
      <c r="I36" s="18"/>
      <c r="J36" s="18"/>
      <c r="K36" s="18"/>
      <c r="L36" s="18"/>
      <c r="M36" s="18"/>
      <c r="N36" s="18"/>
      <c r="O36" s="18"/>
    </row>
    <row r="37" spans="1:15" ht="23">
      <c r="A37" s="4"/>
      <c r="B37" s="4"/>
      <c r="C37" s="4"/>
      <c r="D37" s="4"/>
      <c r="E37" s="4"/>
      <c r="F37" s="4"/>
      <c r="G37" s="4"/>
      <c r="H37" s="4"/>
      <c r="I37" s="4"/>
      <c r="J37" s="4"/>
      <c r="K37" s="4"/>
      <c r="L37" s="4"/>
      <c r="M37" s="4"/>
      <c r="N37" s="4"/>
      <c r="O37" s="4"/>
    </row>
    <row r="38" spans="1:15" ht="23">
      <c r="A38" s="3" t="s">
        <v>73</v>
      </c>
      <c r="B38" s="4"/>
      <c r="C38" s="4"/>
      <c r="D38" s="4"/>
      <c r="E38" s="4"/>
      <c r="F38" s="4"/>
      <c r="G38" s="4"/>
      <c r="H38" s="4"/>
      <c r="I38" s="1424"/>
      <c r="J38" s="1424"/>
      <c r="K38" s="4"/>
      <c r="L38" s="4"/>
      <c r="M38" s="4"/>
    </row>
    <row r="39" spans="1:15" ht="23">
      <c r="A39" s="4"/>
      <c r="B39" s="4"/>
      <c r="C39" s="4"/>
      <c r="D39" s="4"/>
      <c r="E39" s="4"/>
      <c r="F39" s="4"/>
      <c r="G39" s="4"/>
      <c r="H39" s="4"/>
      <c r="I39" s="4"/>
      <c r="J39" s="4"/>
      <c r="K39" s="4"/>
      <c r="L39" s="4"/>
      <c r="M39" s="4"/>
      <c r="N39" s="4"/>
      <c r="O39" s="4"/>
    </row>
    <row r="40" spans="1:15" s="42" customFormat="1">
      <c r="A40" s="42" t="s">
        <v>164</v>
      </c>
    </row>
    <row r="41" spans="1:15">
      <c r="A41" s="43"/>
      <c r="B41" s="44"/>
      <c r="C41" s="44"/>
      <c r="D41" s="44"/>
      <c r="E41" s="44"/>
      <c r="F41" s="44"/>
      <c r="G41" s="44"/>
      <c r="H41" s="44"/>
      <c r="I41" s="44"/>
      <c r="J41" s="44"/>
      <c r="K41" s="44"/>
      <c r="L41" s="44"/>
      <c r="M41" s="44"/>
      <c r="N41" s="44"/>
    </row>
    <row r="42" spans="1:15">
      <c r="A42" s="48" t="s">
        <v>71</v>
      </c>
    </row>
    <row r="43" spans="1:15">
      <c r="A43" s="45" t="s">
        <v>72</v>
      </c>
    </row>
    <row r="44" spans="1:15">
      <c r="A44" s="45"/>
    </row>
    <row r="45" spans="1:15">
      <c r="A45" s="45"/>
      <c r="E45" s="1417"/>
      <c r="F45" s="1417"/>
    </row>
    <row r="46" spans="1:15">
      <c r="A46" s="45"/>
    </row>
    <row r="47" spans="1:15">
      <c r="A47" s="45"/>
    </row>
    <row r="48" spans="1:15">
      <c r="A48" s="45"/>
    </row>
    <row r="49" spans="1:7">
      <c r="A49" s="45"/>
      <c r="B49" s="38" t="s">
        <v>86</v>
      </c>
      <c r="E49" s="90"/>
      <c r="F49" s="38" t="s">
        <v>77</v>
      </c>
      <c r="G49" s="38" t="str">
        <f>IF(OR(E49=""),"",'Air Flow References'!AT16)</f>
        <v/>
      </c>
    </row>
    <row r="50" spans="1:7">
      <c r="A50" s="45"/>
    </row>
    <row r="51" spans="1:7">
      <c r="A51" s="45"/>
      <c r="B51" s="38" t="s">
        <v>87</v>
      </c>
      <c r="E51" s="90"/>
      <c r="F51" s="50" t="s">
        <v>77</v>
      </c>
      <c r="G51" s="38" t="str">
        <f>IF(OR(E51=""),"",'Air Flow References'!AT17)</f>
        <v/>
      </c>
    </row>
    <row r="52" spans="1:7">
      <c r="A52" s="45"/>
    </row>
    <row r="53" spans="1:7">
      <c r="A53" s="48" t="s">
        <v>78</v>
      </c>
    </row>
    <row r="54" spans="1:7">
      <c r="A54" s="48"/>
    </row>
    <row r="55" spans="1:7">
      <c r="A55" s="45" t="s">
        <v>88</v>
      </c>
      <c r="E55" s="90"/>
      <c r="F55" s="38" t="s">
        <v>82</v>
      </c>
      <c r="G55" s="38" t="str">
        <f>IF(OR(E55=""),"",'Air Flow References'!AT18)</f>
        <v/>
      </c>
    </row>
    <row r="56" spans="1:7">
      <c r="A56" s="45"/>
    </row>
    <row r="57" spans="1:7">
      <c r="A57" s="45" t="s">
        <v>89</v>
      </c>
      <c r="E57" s="90"/>
      <c r="F57" s="38" t="s">
        <v>77</v>
      </c>
      <c r="G57" s="38" t="str">
        <f>IF(OR(E57=""),"",'Air Flow References'!AT19)</f>
        <v/>
      </c>
    </row>
    <row r="58" spans="1:7">
      <c r="A58" s="45"/>
    </row>
    <row r="59" spans="1:7">
      <c r="A59" s="45" t="s">
        <v>90</v>
      </c>
      <c r="E59" s="90"/>
      <c r="F59" s="38" t="s">
        <v>77</v>
      </c>
      <c r="G59" s="38" t="str">
        <f>IF(OR(E59=""),"",'Air Flow References'!AT20)</f>
        <v/>
      </c>
    </row>
    <row r="60" spans="1:7">
      <c r="A60" s="45"/>
    </row>
    <row r="61" spans="1:7">
      <c r="A61" s="45" t="s">
        <v>91</v>
      </c>
      <c r="E61" s="92" t="str">
        <f>IF(OR(E57="",E59=""),"",E57-E59)</f>
        <v/>
      </c>
      <c r="F61" s="38" t="s">
        <v>77</v>
      </c>
      <c r="G61" s="38" t="str">
        <f>'Air Flow References'!AT21</f>
        <v/>
      </c>
    </row>
    <row r="62" spans="1:7">
      <c r="A62" s="45"/>
    </row>
    <row r="63" spans="1:7">
      <c r="A63" s="51" t="s">
        <v>92</v>
      </c>
    </row>
    <row r="64" spans="1:7">
      <c r="A64" s="45"/>
    </row>
    <row r="65" spans="1:15">
      <c r="A65" s="52" t="s">
        <v>93</v>
      </c>
      <c r="B65" s="53"/>
      <c r="C65" s="53"/>
      <c r="D65" s="53"/>
      <c r="E65" s="53"/>
      <c r="F65" s="53"/>
      <c r="G65" s="53"/>
      <c r="H65" s="53"/>
      <c r="I65" s="53"/>
      <c r="J65" s="53"/>
      <c r="K65" s="53"/>
      <c r="L65" s="53"/>
      <c r="M65" s="53"/>
      <c r="N65" s="53"/>
    </row>
    <row r="66" spans="1:15">
      <c r="A66" s="42" t="s">
        <v>199</v>
      </c>
      <c r="B66" s="42"/>
      <c r="C66" s="42"/>
      <c r="D66" s="42"/>
      <c r="E66" s="42"/>
      <c r="F66" s="42"/>
      <c r="G66" s="42"/>
      <c r="H66" s="42"/>
      <c r="I66" s="42"/>
      <c r="J66" s="42"/>
      <c r="K66" s="42"/>
      <c r="L66" s="42"/>
      <c r="M66" s="42"/>
      <c r="N66" s="42"/>
      <c r="O66" s="42"/>
    </row>
    <row r="67" spans="1:15">
      <c r="A67" s="43"/>
      <c r="B67" s="44"/>
      <c r="C67" s="44"/>
      <c r="D67" s="44"/>
      <c r="E67" s="44"/>
      <c r="F67" s="44"/>
      <c r="G67" s="44"/>
      <c r="H67" s="44"/>
      <c r="I67" s="44"/>
      <c r="J67" s="44"/>
      <c r="K67" s="44"/>
      <c r="L67" s="44"/>
      <c r="M67" s="44"/>
      <c r="N67" s="44"/>
    </row>
    <row r="68" spans="1:15">
      <c r="A68" s="48" t="s">
        <v>71</v>
      </c>
    </row>
    <row r="69" spans="1:15">
      <c r="A69" s="45" t="s">
        <v>72</v>
      </c>
    </row>
    <row r="70" spans="1:15">
      <c r="A70" s="45"/>
    </row>
    <row r="71" spans="1:15">
      <c r="A71" s="45"/>
      <c r="E71" s="1417"/>
      <c r="F71" s="1417"/>
    </row>
    <row r="72" spans="1:15">
      <c r="A72" s="45"/>
    </row>
    <row r="73" spans="1:15">
      <c r="A73" s="45"/>
    </row>
    <row r="74" spans="1:15">
      <c r="A74" s="45"/>
      <c r="B74" s="38" t="s">
        <v>74</v>
      </c>
      <c r="E74" s="90"/>
      <c r="F74" s="38" t="s">
        <v>298</v>
      </c>
      <c r="G74" s="148" t="str">
        <f>IF(OR(E74=""),"",'Air Flow References'!AT28)</f>
        <v/>
      </c>
    </row>
    <row r="75" spans="1:15">
      <c r="A75" s="45"/>
      <c r="B75" s="38" t="s">
        <v>297</v>
      </c>
      <c r="E75" s="143"/>
      <c r="G75" s="49"/>
    </row>
    <row r="76" spans="1:15">
      <c r="A76" s="45"/>
    </row>
    <row r="77" spans="1:15">
      <c r="A77" s="45"/>
      <c r="B77" s="38" t="s">
        <v>75</v>
      </c>
      <c r="E77" s="90"/>
      <c r="F77" s="38" t="s">
        <v>77</v>
      </c>
      <c r="G77" s="38" t="str">
        <f>IF(OR(E77=""),"",'Air Flow References'!AT29)</f>
        <v/>
      </c>
    </row>
    <row r="78" spans="1:15">
      <c r="A78" s="45"/>
    </row>
    <row r="79" spans="1:15">
      <c r="A79" s="45"/>
      <c r="B79" s="38" t="s">
        <v>76</v>
      </c>
      <c r="E79" s="90"/>
      <c r="F79" s="50" t="s">
        <v>77</v>
      </c>
      <c r="G79" s="38" t="str">
        <f>IF(OR(E79=""),"",'Air Flow References'!AT30)</f>
        <v/>
      </c>
    </row>
    <row r="80" spans="1:15">
      <c r="A80" s="45"/>
    </row>
    <row r="81" spans="1:14">
      <c r="A81" s="45"/>
    </row>
    <row r="82" spans="1:14">
      <c r="A82" s="48" t="s">
        <v>78</v>
      </c>
    </row>
    <row r="83" spans="1:14">
      <c r="A83" s="45"/>
    </row>
    <row r="84" spans="1:14">
      <c r="A84" s="45" t="s">
        <v>79</v>
      </c>
      <c r="E84" s="90"/>
      <c r="F84" s="38" t="s">
        <v>82</v>
      </c>
      <c r="G84" s="38" t="str">
        <f>IF(OR(E84=""),"",'Air Flow References'!AT31)</f>
        <v/>
      </c>
    </row>
    <row r="85" spans="1:14">
      <c r="A85" s="45"/>
    </row>
    <row r="86" spans="1:14">
      <c r="A86" s="45" t="s">
        <v>80</v>
      </c>
      <c r="E86" s="90"/>
      <c r="F86" s="50" t="s">
        <v>77</v>
      </c>
      <c r="G86" s="38" t="str">
        <f>IF(OR(E86=""),"",'Air Flow References'!AT32)</f>
        <v/>
      </c>
    </row>
    <row r="87" spans="1:14">
      <c r="A87" s="45"/>
    </row>
    <row r="88" spans="1:14">
      <c r="A88" s="45" t="s">
        <v>81</v>
      </c>
      <c r="E88" s="90"/>
      <c r="F88" s="50" t="s">
        <v>77</v>
      </c>
      <c r="G88" s="38" t="str">
        <f>IF(OR(E88=""),"",'Air Flow References'!AT33)</f>
        <v/>
      </c>
    </row>
    <row r="89" spans="1:14">
      <c r="A89" s="45"/>
    </row>
    <row r="90" spans="1:14">
      <c r="A90" s="45" t="s">
        <v>83</v>
      </c>
      <c r="E90" s="92" t="str">
        <f>IF(OR(E86="",E88=""),"",E88-E86)</f>
        <v/>
      </c>
      <c r="F90" s="50" t="s">
        <v>77</v>
      </c>
      <c r="G90" s="38" t="str">
        <f>'Air Flow References'!AT34</f>
        <v/>
      </c>
    </row>
    <row r="91" spans="1:14">
      <c r="A91" s="45"/>
    </row>
    <row r="92" spans="1:14">
      <c r="A92" s="51" t="s">
        <v>84</v>
      </c>
    </row>
    <row r="93" spans="1:14">
      <c r="A93" s="45"/>
    </row>
    <row r="94" spans="1:14">
      <c r="A94" s="41" t="s">
        <v>85</v>
      </c>
    </row>
    <row r="95" spans="1:14" s="42" customFormat="1">
      <c r="A95" s="42" t="s">
        <v>575</v>
      </c>
    </row>
    <row r="96" spans="1:14">
      <c r="A96" s="43"/>
      <c r="B96" s="44"/>
      <c r="C96" s="44"/>
      <c r="D96" s="44"/>
      <c r="E96" s="44"/>
      <c r="F96" s="44"/>
      <c r="G96" s="44"/>
      <c r="H96" s="44"/>
      <c r="I96" s="44"/>
      <c r="J96" s="44"/>
      <c r="K96" s="44"/>
      <c r="L96" s="44"/>
      <c r="M96" s="44"/>
      <c r="N96" s="44"/>
    </row>
    <row r="97" spans="1:14">
      <c r="A97" s="45" t="s">
        <v>49</v>
      </c>
    </row>
    <row r="98" spans="1:14" ht="9.75" customHeight="1">
      <c r="A98" s="45"/>
    </row>
    <row r="99" spans="1:14" ht="15.75" customHeight="1">
      <c r="A99" s="45"/>
      <c r="E99" s="1211"/>
      <c r="F99" s="1211"/>
      <c r="G99" s="38" t="s">
        <v>50</v>
      </c>
    </row>
    <row r="100" spans="1:14">
      <c r="A100" s="1397" t="s">
        <v>1432</v>
      </c>
      <c r="B100" s="1124"/>
    </row>
    <row r="101" spans="1:14">
      <c r="A101" s="1397"/>
      <c r="B101" s="1124"/>
      <c r="C101" s="463"/>
      <c r="D101" s="38" t="s">
        <v>1515</v>
      </c>
      <c r="E101" s="463"/>
      <c r="F101" s="38" t="s">
        <v>1516</v>
      </c>
    </row>
    <row r="102" spans="1:14">
      <c r="A102" s="45"/>
    </row>
    <row r="103" spans="1:14">
      <c r="A103" s="45"/>
    </row>
    <row r="104" spans="1:14">
      <c r="A104" s="45" t="s">
        <v>1517</v>
      </c>
      <c r="E104" s="295"/>
    </row>
    <row r="105" spans="1:14">
      <c r="A105" s="45"/>
    </row>
    <row r="106" spans="1:14">
      <c r="A106" s="45"/>
    </row>
    <row r="107" spans="1:14">
      <c r="A107" s="45" t="s">
        <v>59</v>
      </c>
      <c r="E107" s="295"/>
    </row>
    <row r="108" spans="1:14">
      <c r="A108" s="45"/>
    </row>
    <row r="109" spans="1:14">
      <c r="A109" s="45"/>
    </row>
    <row r="110" spans="1:14">
      <c r="A110" s="45" t="s">
        <v>1433</v>
      </c>
      <c r="C110" s="463"/>
      <c r="D110" s="38" t="s">
        <v>60</v>
      </c>
    </row>
    <row r="111" spans="1:14">
      <c r="A111" s="45"/>
    </row>
    <row r="112" spans="1:14">
      <c r="A112" s="45" t="s">
        <v>61</v>
      </c>
      <c r="D112" s="504"/>
      <c r="E112" s="38" t="s">
        <v>62</v>
      </c>
      <c r="F112" s="38" t="s">
        <v>63</v>
      </c>
      <c r="G112" s="460"/>
      <c r="H112" s="38" t="s">
        <v>60</v>
      </c>
      <c r="I112" s="38" t="s">
        <v>64</v>
      </c>
      <c r="J112" s="434"/>
      <c r="K112" s="38" t="s">
        <v>65</v>
      </c>
      <c r="L112" s="46" t="s">
        <v>66</v>
      </c>
      <c r="M112" s="460"/>
      <c r="N112" s="38" t="s">
        <v>67</v>
      </c>
    </row>
    <row r="113" spans="1:15">
      <c r="A113" s="45"/>
      <c r="L113" s="46"/>
    </row>
    <row r="114" spans="1:15">
      <c r="A114" s="45" t="s">
        <v>142</v>
      </c>
      <c r="D114" s="504"/>
      <c r="E114" s="38" t="s">
        <v>62</v>
      </c>
      <c r="F114" s="38" t="s">
        <v>63</v>
      </c>
      <c r="G114" s="460"/>
      <c r="H114" s="38" t="s">
        <v>60</v>
      </c>
      <c r="I114" s="38" t="s">
        <v>64</v>
      </c>
      <c r="J114" s="434"/>
      <c r="K114" s="38" t="s">
        <v>65</v>
      </c>
      <c r="L114" s="46" t="s">
        <v>66</v>
      </c>
      <c r="M114" s="460"/>
      <c r="N114" s="38" t="s">
        <v>67</v>
      </c>
    </row>
    <row r="115" spans="1:15">
      <c r="A115" s="45"/>
    </row>
    <row r="116" spans="1:15">
      <c r="A116" s="47" t="s">
        <v>190</v>
      </c>
      <c r="M116" s="460"/>
      <c r="N116" s="38" t="s">
        <v>67</v>
      </c>
    </row>
    <row r="117" spans="1:15">
      <c r="A117" s="45"/>
    </row>
    <row r="118" spans="1:15">
      <c r="A118" s="1401" t="s">
        <v>68</v>
      </c>
      <c r="B118" s="1399"/>
      <c r="C118" s="1399"/>
      <c r="D118" s="1399"/>
      <c r="E118" s="1402"/>
      <c r="F118" s="1398" t="s">
        <v>69</v>
      </c>
      <c r="G118" s="1398"/>
      <c r="H118" s="1398"/>
      <c r="I118" s="1398"/>
      <c r="J118" s="1398"/>
      <c r="K118" s="1398"/>
      <c r="L118" s="139"/>
      <c r="M118" s="1413" t="str">
        <f>IF(AND(M112="",M114="",M116=""),"",M112+M114+M116)</f>
        <v/>
      </c>
      <c r="N118" s="1399" t="s">
        <v>67</v>
      </c>
    </row>
    <row r="119" spans="1:15">
      <c r="A119" s="1401"/>
      <c r="B119" s="1399"/>
      <c r="C119" s="1399"/>
      <c r="D119" s="1399"/>
      <c r="E119" s="1402"/>
      <c r="F119" s="1398"/>
      <c r="G119" s="1398"/>
      <c r="H119" s="1398"/>
      <c r="I119" s="1398"/>
      <c r="J119" s="1398"/>
      <c r="K119" s="1398"/>
      <c r="L119" s="139"/>
      <c r="M119" s="1414"/>
      <c r="N119" s="1399"/>
    </row>
    <row r="120" spans="1:15">
      <c r="A120" s="45"/>
    </row>
    <row r="121" spans="1:15">
      <c r="A121" s="41" t="s">
        <v>70</v>
      </c>
    </row>
    <row r="122" spans="1:15"/>
    <row r="123" spans="1:15">
      <c r="A123" s="44" t="s">
        <v>165</v>
      </c>
      <c r="B123" s="44"/>
      <c r="C123" s="44" t="str">
        <f>Development!$A$4&amp;"_"&amp;Development!$A$2</f>
        <v>01.01.2025_1.0</v>
      </c>
      <c r="D123" s="44"/>
      <c r="E123" s="44"/>
      <c r="F123" s="44"/>
      <c r="G123" s="44"/>
      <c r="H123" s="44"/>
      <c r="I123" s="44"/>
      <c r="J123" s="44"/>
      <c r="K123" s="44"/>
      <c r="L123" s="44"/>
      <c r="M123" s="44"/>
      <c r="N123" s="44" t="s">
        <v>167</v>
      </c>
      <c r="O123" s="44" t="str">
        <f>Development!A4</f>
        <v>01.01.2025</v>
      </c>
    </row>
    <row r="124" spans="1:15"/>
    <row r="125" spans="1:15" hidden="1"/>
    <row r="126" spans="1:15" hidden="1"/>
    <row r="127" spans="1:15" hidden="1"/>
    <row r="128" spans="1:15" hidden="1"/>
    <row r="129" spans="15:15" hidden="1"/>
    <row r="130" spans="15:15" hidden="1"/>
    <row r="131" spans="15:15" hidden="1"/>
    <row r="132" spans="15:15" hidden="1"/>
    <row r="133" spans="15:15" hidden="1"/>
    <row r="134" spans="15:15" hidden="1"/>
    <row r="135" spans="15:15" hidden="1"/>
    <row r="136" spans="15:15" hidden="1">
      <c r="O136" s="54"/>
    </row>
  </sheetData>
  <sheetProtection algorithmName="SHA-512" hashValue="iv6BJ6HhhWUumwsTKkkBJ/9AFyN9EWtY66Sdq4j/75Y6n/hQOd6oZ8r81lQY/gHb+hhD5Ao1QQuUAFb+sDotxA==" saltValue="LxJ6BwKj9Mv58cBn4AQ/Jw==" spinCount="100000" sheet="1" objects="1" scenarios="1"/>
  <dataConsolidate/>
  <mergeCells count="23">
    <mergeCell ref="A118:E119"/>
    <mergeCell ref="F118:K119"/>
    <mergeCell ref="M118:M119"/>
    <mergeCell ref="N118:N119"/>
    <mergeCell ref="E71:F71"/>
    <mergeCell ref="E99:F99"/>
    <mergeCell ref="A100:B101"/>
    <mergeCell ref="E22:F22"/>
    <mergeCell ref="A29:M29"/>
    <mergeCell ref="C30:L30"/>
    <mergeCell ref="I38:J38"/>
    <mergeCell ref="E45:F45"/>
    <mergeCell ref="E25:F25"/>
    <mergeCell ref="E15:F15"/>
    <mergeCell ref="M15:N15"/>
    <mergeCell ref="A18:D18"/>
    <mergeCell ref="E18:F18"/>
    <mergeCell ref="M18:N18"/>
    <mergeCell ref="A1:J1"/>
    <mergeCell ref="A2:J2"/>
    <mergeCell ref="C5:D5"/>
    <mergeCell ref="H5:I5"/>
    <mergeCell ref="H7:I7"/>
  </mergeCells>
  <pageMargins left="0.25" right="0.25" top="0.75" bottom="0.75" header="0.3" footer="0.3"/>
  <pageSetup scale="56" fitToHeight="4" orientation="portrait" r:id="rId1"/>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drawing r:id="rId2"/>
  <legacyDrawing r:id="rId3"/>
  <controls>
    <mc:AlternateContent xmlns:mc="http://schemas.openxmlformats.org/markup-compatibility/2006">
      <mc:Choice Requires="x14">
        <control shapeId="67611" r:id="rId4" name="OptionButton10">
          <controlPr defaultSize="0" autoLine="0" r:id="rId5">
            <anchor moveWithCells="1">
              <from>
                <xdr:col>1</xdr:col>
                <xdr:colOff>69850</xdr:colOff>
                <xdr:row>45</xdr:row>
                <xdr:rowOff>0</xdr:rowOff>
              </from>
              <to>
                <xdr:col>2</xdr:col>
                <xdr:colOff>57150</xdr:colOff>
                <xdr:row>46</xdr:row>
                <xdr:rowOff>76200</xdr:rowOff>
              </to>
            </anchor>
          </controlPr>
        </control>
      </mc:Choice>
      <mc:Fallback>
        <control shapeId="67611" r:id="rId4" name="OptionButton10"/>
      </mc:Fallback>
    </mc:AlternateContent>
    <mc:AlternateContent xmlns:mc="http://schemas.openxmlformats.org/markup-compatibility/2006">
      <mc:Choice Requires="x14">
        <control shapeId="67602" r:id="rId6" name="OptionButton7">
          <controlPr defaultSize="0" autoLine="0" r:id="rId7">
            <anchor moveWithCells="1">
              <from>
                <xdr:col>1</xdr:col>
                <xdr:colOff>95250</xdr:colOff>
                <xdr:row>70</xdr:row>
                <xdr:rowOff>0</xdr:rowOff>
              </from>
              <to>
                <xdr:col>2</xdr:col>
                <xdr:colOff>88900</xdr:colOff>
                <xdr:row>71</xdr:row>
                <xdr:rowOff>76200</xdr:rowOff>
              </to>
            </anchor>
          </controlPr>
        </control>
      </mc:Choice>
      <mc:Fallback>
        <control shapeId="67602" r:id="rId6" name="OptionButton7"/>
      </mc:Fallback>
    </mc:AlternateContent>
    <mc:AlternateContent xmlns:mc="http://schemas.openxmlformats.org/markup-compatibility/2006">
      <mc:Choice Requires="x14">
        <control shapeId="67586" r:id="rId8" name="OptionButton2">
          <controlPr defaultSize="0" autoLine="0" autoPict="0" r:id="rId9">
            <anchor moveWithCells="1">
              <from>
                <xdr:col>5</xdr:col>
                <xdr:colOff>476250</xdr:colOff>
                <xdr:row>19</xdr:row>
                <xdr:rowOff>266700</xdr:rowOff>
              </from>
              <to>
                <xdr:col>10</xdr:col>
                <xdr:colOff>0</xdr:colOff>
                <xdr:row>20</xdr:row>
                <xdr:rowOff>241300</xdr:rowOff>
              </to>
            </anchor>
          </controlPr>
        </control>
      </mc:Choice>
      <mc:Fallback>
        <control shapeId="67586" r:id="rId8" name="OptionButton2"/>
      </mc:Fallback>
    </mc:AlternateContent>
    <mc:AlternateContent xmlns:mc="http://schemas.openxmlformats.org/markup-compatibility/2006">
      <mc:Choice Requires="x14">
        <control shapeId="67585" r:id="rId10" name="OptionButton1">
          <controlPr defaultSize="0" autoLine="0" autoPict="0" r:id="rId11">
            <anchor moveWithCells="1">
              <from>
                <xdr:col>2</xdr:col>
                <xdr:colOff>698500</xdr:colOff>
                <xdr:row>19</xdr:row>
                <xdr:rowOff>279400</xdr:rowOff>
              </from>
              <to>
                <xdr:col>5</xdr:col>
                <xdr:colOff>755650</xdr:colOff>
                <xdr:row>20</xdr:row>
                <xdr:rowOff>146050</xdr:rowOff>
              </to>
            </anchor>
          </controlPr>
        </control>
      </mc:Choice>
      <mc:Fallback>
        <control shapeId="67585" r:id="rId10" name="OptionButton1"/>
      </mc:Fallback>
    </mc:AlternateContent>
    <mc:AlternateContent xmlns:mc="http://schemas.openxmlformats.org/markup-compatibility/2006">
      <mc:Choice Requires="x14">
        <control shapeId="67587" r:id="rId12" name="Group Box 3">
          <controlPr defaultSize="0" autoFill="0" autoPict="0">
            <anchor moveWithCells="1">
              <from>
                <xdr:col>0</xdr:col>
                <xdr:colOff>12700</xdr:colOff>
                <xdr:row>19</xdr:row>
                <xdr:rowOff>57150</xdr:rowOff>
              </from>
              <to>
                <xdr:col>6</xdr:col>
                <xdr:colOff>717550</xdr:colOff>
                <xdr:row>20</xdr:row>
                <xdr:rowOff>336550</xdr:rowOff>
              </to>
            </anchor>
          </controlPr>
        </control>
      </mc:Choice>
    </mc:AlternateContent>
    <mc:AlternateContent xmlns:mc="http://schemas.openxmlformats.org/markup-compatibility/2006">
      <mc:Choice Requires="x14">
        <control shapeId="67588" r:id="rId13" name="Check Box 4">
          <controlPr defaultSize="0" autoFill="0" autoLine="0" autoPict="0">
            <anchor moveWithCells="1">
              <from>
                <xdr:col>7</xdr:col>
                <xdr:colOff>533400</xdr:colOff>
                <xdr:row>21</xdr:row>
                <xdr:rowOff>146050</xdr:rowOff>
              </from>
              <to>
                <xdr:col>9</xdr:col>
                <xdr:colOff>50800</xdr:colOff>
                <xdr:row>22</xdr:row>
                <xdr:rowOff>0</xdr:rowOff>
              </to>
            </anchor>
          </controlPr>
        </control>
      </mc:Choice>
    </mc:AlternateContent>
    <mc:AlternateContent xmlns:mc="http://schemas.openxmlformats.org/markup-compatibility/2006">
      <mc:Choice Requires="x14">
        <control shapeId="67589" r:id="rId14" name="Check Box 5">
          <controlPr defaultSize="0" autoFill="0" autoLine="0" autoPict="0">
            <anchor moveWithCells="1">
              <from>
                <xdr:col>9</xdr:col>
                <xdr:colOff>419100</xdr:colOff>
                <xdr:row>21</xdr:row>
                <xdr:rowOff>146050</xdr:rowOff>
              </from>
              <to>
                <xdr:col>10</xdr:col>
                <xdr:colOff>990600</xdr:colOff>
                <xdr:row>22</xdr:row>
                <xdr:rowOff>0</xdr:rowOff>
              </to>
            </anchor>
          </controlPr>
        </control>
      </mc:Choice>
    </mc:AlternateContent>
    <mc:AlternateContent xmlns:mc="http://schemas.openxmlformats.org/markup-compatibility/2006">
      <mc:Choice Requires="x14">
        <control shapeId="67593" r:id="rId15" name="Group Box 9">
          <controlPr defaultSize="0" autoFill="0" autoPict="0">
            <anchor moveWithCells="1">
              <from>
                <xdr:col>0</xdr:col>
                <xdr:colOff>50800</xdr:colOff>
                <xdr:row>65</xdr:row>
                <xdr:rowOff>0</xdr:rowOff>
              </from>
              <to>
                <xdr:col>4</xdr:col>
                <xdr:colOff>76200</xdr:colOff>
                <xdr:row>69</xdr:row>
                <xdr:rowOff>95250</xdr:rowOff>
              </to>
            </anchor>
          </controlPr>
        </control>
      </mc:Choice>
    </mc:AlternateContent>
    <mc:AlternateContent xmlns:mc="http://schemas.openxmlformats.org/markup-compatibility/2006">
      <mc:Choice Requires="x14">
        <control shapeId="67594" r:id="rId16" name="Option Button 10">
          <controlPr defaultSize="0" autoFill="0" autoLine="0" autoPict="0">
            <anchor moveWithCells="1">
              <from>
                <xdr:col>4</xdr:col>
                <xdr:colOff>419100</xdr:colOff>
                <xdr:row>65</xdr:row>
                <xdr:rowOff>0</xdr:rowOff>
              </from>
              <to>
                <xdr:col>5</xdr:col>
                <xdr:colOff>50800</xdr:colOff>
                <xdr:row>66</xdr:row>
                <xdr:rowOff>50800</xdr:rowOff>
              </to>
            </anchor>
          </controlPr>
        </control>
      </mc:Choice>
    </mc:AlternateContent>
    <mc:AlternateContent xmlns:mc="http://schemas.openxmlformats.org/markup-compatibility/2006">
      <mc:Choice Requires="x14">
        <control shapeId="67595" r:id="rId17" name="Option Button 11">
          <controlPr defaultSize="0" autoFill="0" autoLine="0" autoPict="0">
            <anchor moveWithCells="1">
              <from>
                <xdr:col>5</xdr:col>
                <xdr:colOff>571500</xdr:colOff>
                <xdr:row>65</xdr:row>
                <xdr:rowOff>0</xdr:rowOff>
              </from>
              <to>
                <xdr:col>6</xdr:col>
                <xdr:colOff>0</xdr:colOff>
                <xdr:row>66</xdr:row>
                <xdr:rowOff>0</xdr:rowOff>
              </to>
            </anchor>
          </controlPr>
        </control>
      </mc:Choice>
    </mc:AlternateContent>
    <mc:AlternateContent xmlns:mc="http://schemas.openxmlformats.org/markup-compatibility/2006">
      <mc:Choice Requires="x14">
        <control shapeId="67596" r:id="rId18" name="Group Box 12">
          <controlPr defaultSize="0" autoFill="0" autoPict="0">
            <anchor moveWithCells="1">
              <from>
                <xdr:col>4</xdr:col>
                <xdr:colOff>361950</xdr:colOff>
                <xdr:row>65</xdr:row>
                <xdr:rowOff>0</xdr:rowOff>
              </from>
              <to>
                <xdr:col>6</xdr:col>
                <xdr:colOff>533400</xdr:colOff>
                <xdr:row>67</xdr:row>
                <xdr:rowOff>152400</xdr:rowOff>
              </to>
            </anchor>
          </controlPr>
        </control>
      </mc:Choice>
    </mc:AlternateContent>
    <mc:AlternateContent xmlns:mc="http://schemas.openxmlformats.org/markup-compatibility/2006">
      <mc:Choice Requires="x14">
        <control shapeId="67597" r:id="rId19" name="Group Box 13">
          <controlPr defaultSize="0" autoFill="0" autoPict="0">
            <anchor moveWithCells="1">
              <from>
                <xdr:col>0</xdr:col>
                <xdr:colOff>374650</xdr:colOff>
                <xdr:row>65</xdr:row>
                <xdr:rowOff>0</xdr:rowOff>
              </from>
              <to>
                <xdr:col>4</xdr:col>
                <xdr:colOff>76200</xdr:colOff>
                <xdr:row>68</xdr:row>
                <xdr:rowOff>95250</xdr:rowOff>
              </to>
            </anchor>
          </controlPr>
        </control>
      </mc:Choice>
    </mc:AlternateContent>
    <mc:AlternateContent xmlns:mc="http://schemas.openxmlformats.org/markup-compatibility/2006">
      <mc:Choice Requires="x14">
        <control shapeId="67598" r:id="rId20" name="Option Button 14">
          <controlPr defaultSize="0" autoFill="0" autoLine="0" autoPict="0">
            <anchor moveWithCells="1">
              <from>
                <xdr:col>4</xdr:col>
                <xdr:colOff>419100</xdr:colOff>
                <xdr:row>65</xdr:row>
                <xdr:rowOff>0</xdr:rowOff>
              </from>
              <to>
                <xdr:col>5</xdr:col>
                <xdr:colOff>50800</xdr:colOff>
                <xdr:row>66</xdr:row>
                <xdr:rowOff>50800</xdr:rowOff>
              </to>
            </anchor>
          </controlPr>
        </control>
      </mc:Choice>
    </mc:AlternateContent>
    <mc:AlternateContent xmlns:mc="http://schemas.openxmlformats.org/markup-compatibility/2006">
      <mc:Choice Requires="x14">
        <control shapeId="67599" r:id="rId21" name="Option Button 15">
          <controlPr defaultSize="0" autoFill="0" autoLine="0" autoPict="0">
            <anchor moveWithCells="1">
              <from>
                <xdr:col>5</xdr:col>
                <xdr:colOff>571500</xdr:colOff>
                <xdr:row>65</xdr:row>
                <xdr:rowOff>0</xdr:rowOff>
              </from>
              <to>
                <xdr:col>6</xdr:col>
                <xdr:colOff>0</xdr:colOff>
                <xdr:row>66</xdr:row>
                <xdr:rowOff>0</xdr:rowOff>
              </to>
            </anchor>
          </controlPr>
        </control>
      </mc:Choice>
    </mc:AlternateContent>
    <mc:AlternateContent xmlns:mc="http://schemas.openxmlformats.org/markup-compatibility/2006">
      <mc:Choice Requires="x14">
        <control shapeId="67600" r:id="rId22" name="Group Box 16">
          <controlPr defaultSize="0" autoFill="0" autoPict="0">
            <anchor moveWithCells="1">
              <from>
                <xdr:col>4</xdr:col>
                <xdr:colOff>266700</xdr:colOff>
                <xdr:row>65</xdr:row>
                <xdr:rowOff>0</xdr:rowOff>
              </from>
              <to>
                <xdr:col>6</xdr:col>
                <xdr:colOff>323850</xdr:colOff>
                <xdr:row>67</xdr:row>
                <xdr:rowOff>165100</xdr:rowOff>
              </to>
            </anchor>
          </controlPr>
        </control>
      </mc:Choice>
    </mc:AlternateContent>
    <mc:AlternateContent xmlns:mc="http://schemas.openxmlformats.org/markup-compatibility/2006">
      <mc:Choice Requires="x14">
        <control shapeId="67604" r:id="rId23" name="Group Box 20">
          <controlPr defaultSize="0" autoFill="0" autoPict="0">
            <anchor moveWithCells="1">
              <from>
                <xdr:col>0</xdr:col>
                <xdr:colOff>317500</xdr:colOff>
                <xdr:row>68</xdr:row>
                <xdr:rowOff>209550</xdr:rowOff>
              </from>
              <to>
                <xdr:col>4</xdr:col>
                <xdr:colOff>76200</xdr:colOff>
                <xdr:row>72</xdr:row>
                <xdr:rowOff>12700</xdr:rowOff>
              </to>
            </anchor>
          </controlPr>
        </control>
      </mc:Choice>
    </mc:AlternateContent>
    <mc:AlternateContent xmlns:mc="http://schemas.openxmlformats.org/markup-compatibility/2006">
      <mc:Choice Requires="x14">
        <control shapeId="67605" r:id="rId24" name="Option Button 21">
          <controlPr defaultSize="0" autoFill="0" autoLine="0" autoPict="0">
            <anchor moveWithCells="1">
              <from>
                <xdr:col>2</xdr:col>
                <xdr:colOff>889000</xdr:colOff>
                <xdr:row>37</xdr:row>
                <xdr:rowOff>127000</xdr:rowOff>
              </from>
              <to>
                <xdr:col>3</xdr:col>
                <xdr:colOff>889000</xdr:colOff>
                <xdr:row>38</xdr:row>
                <xdr:rowOff>127000</xdr:rowOff>
              </to>
            </anchor>
          </controlPr>
        </control>
      </mc:Choice>
    </mc:AlternateContent>
    <mc:AlternateContent xmlns:mc="http://schemas.openxmlformats.org/markup-compatibility/2006">
      <mc:Choice Requires="x14">
        <control shapeId="67606" r:id="rId25" name="Option Button 22">
          <controlPr defaultSize="0" autoFill="0" autoLine="0" autoPict="0">
            <anchor moveWithCells="1">
              <from>
                <xdr:col>2</xdr:col>
                <xdr:colOff>1060450</xdr:colOff>
                <xdr:row>37</xdr:row>
                <xdr:rowOff>69850</xdr:rowOff>
              </from>
              <to>
                <xdr:col>4</xdr:col>
                <xdr:colOff>31750</xdr:colOff>
                <xdr:row>38</xdr:row>
                <xdr:rowOff>69850</xdr:rowOff>
              </to>
            </anchor>
          </controlPr>
        </control>
      </mc:Choice>
    </mc:AlternateContent>
    <mc:AlternateContent xmlns:mc="http://schemas.openxmlformats.org/markup-compatibility/2006">
      <mc:Choice Requires="x14">
        <control shapeId="67607" r:id="rId26" name="Option Button 23">
          <controlPr defaultSize="0" autoFill="0" autoLine="0" autoPict="0">
            <anchor moveWithCells="1">
              <from>
                <xdr:col>4</xdr:col>
                <xdr:colOff>209550</xdr:colOff>
                <xdr:row>37</xdr:row>
                <xdr:rowOff>69850</xdr:rowOff>
              </from>
              <to>
                <xdr:col>5</xdr:col>
                <xdr:colOff>622300</xdr:colOff>
                <xdr:row>38</xdr:row>
                <xdr:rowOff>69850</xdr:rowOff>
              </to>
            </anchor>
          </controlPr>
        </control>
      </mc:Choice>
    </mc:AlternateContent>
    <mc:AlternateContent xmlns:mc="http://schemas.openxmlformats.org/markup-compatibility/2006">
      <mc:Choice Requires="x14">
        <control shapeId="67609" r:id="rId27" name="Group Box 25">
          <controlPr defaultSize="0" autoFill="0" autoPict="0">
            <anchor moveWithCells="1">
              <from>
                <xdr:col>2</xdr:col>
                <xdr:colOff>533400</xdr:colOff>
                <xdr:row>36</xdr:row>
                <xdr:rowOff>266700</xdr:rowOff>
              </from>
              <to>
                <xdr:col>14</xdr:col>
                <xdr:colOff>698500</xdr:colOff>
                <xdr:row>39</xdr:row>
                <xdr:rowOff>50800</xdr:rowOff>
              </to>
            </anchor>
          </controlPr>
        </control>
      </mc:Choice>
    </mc:AlternateContent>
    <mc:AlternateContent xmlns:mc="http://schemas.openxmlformats.org/markup-compatibility/2006">
      <mc:Choice Requires="x14">
        <control shapeId="67613" r:id="rId28" name="Group Box 29">
          <controlPr defaultSize="0" autoFill="0" autoPict="0">
            <anchor moveWithCells="1">
              <from>
                <xdr:col>0</xdr:col>
                <xdr:colOff>571500</xdr:colOff>
                <xdr:row>42</xdr:row>
                <xdr:rowOff>209550</xdr:rowOff>
              </from>
              <to>
                <xdr:col>4</xdr:col>
                <xdr:colOff>76200</xdr:colOff>
                <xdr:row>46</xdr:row>
                <xdr:rowOff>12700</xdr:rowOff>
              </to>
            </anchor>
          </controlPr>
        </control>
      </mc:Choice>
    </mc:AlternateContent>
    <mc:AlternateContent xmlns:mc="http://schemas.openxmlformats.org/markup-compatibility/2006">
      <mc:Choice Requires="x14">
        <control shapeId="67679" r:id="rId29" name="Check Box 95">
          <controlPr defaultSize="0" autoFill="0" autoLine="0" autoPict="0">
            <anchor moveWithCells="1">
              <from>
                <xdr:col>1</xdr:col>
                <xdr:colOff>927100</xdr:colOff>
                <xdr:row>9</xdr:row>
                <xdr:rowOff>114300</xdr:rowOff>
              </from>
              <to>
                <xdr:col>3</xdr:col>
                <xdr:colOff>0</xdr:colOff>
                <xdr:row>10</xdr:row>
                <xdr:rowOff>0</xdr:rowOff>
              </to>
            </anchor>
          </controlPr>
        </control>
      </mc:Choice>
    </mc:AlternateContent>
    <mc:AlternateContent xmlns:mc="http://schemas.openxmlformats.org/markup-compatibility/2006">
      <mc:Choice Requires="x14">
        <control shapeId="67680" r:id="rId30" name="Check Box 96">
          <controlPr defaultSize="0" autoFill="0" autoLine="0" autoPict="0">
            <anchor moveWithCells="1">
              <from>
                <xdr:col>3</xdr:col>
                <xdr:colOff>1003300</xdr:colOff>
                <xdr:row>9</xdr:row>
                <xdr:rowOff>114300</xdr:rowOff>
              </from>
              <to>
                <xdr:col>4</xdr:col>
                <xdr:colOff>603250</xdr:colOff>
                <xdr:row>9</xdr:row>
                <xdr:rowOff>190500</xdr:rowOff>
              </to>
            </anchor>
          </controlPr>
        </control>
      </mc:Choice>
    </mc:AlternateContent>
    <mc:AlternateContent xmlns:mc="http://schemas.openxmlformats.org/markup-compatibility/2006">
      <mc:Choice Requires="x14">
        <control shapeId="67682" r:id="rId31" name="Check Box 98">
          <controlPr defaultSize="0" autoFill="0" autoLine="0" autoPict="0">
            <anchor moveWithCells="1">
              <from>
                <xdr:col>3</xdr:col>
                <xdr:colOff>31750</xdr:colOff>
                <xdr:row>9</xdr:row>
                <xdr:rowOff>127000</xdr:rowOff>
              </from>
              <to>
                <xdr:col>3</xdr:col>
                <xdr:colOff>1028700</xdr:colOff>
                <xdr:row>10</xdr:row>
                <xdr:rowOff>0</xdr:rowOff>
              </to>
            </anchor>
          </controlPr>
        </control>
      </mc:Choice>
    </mc:AlternateContent>
    <mc:AlternateContent xmlns:mc="http://schemas.openxmlformats.org/markup-compatibility/2006">
      <mc:Choice Requires="x14">
        <control shapeId="67683" r:id="rId32" name="Check Box 99">
          <controlPr defaultSize="0" autoFill="0" autoLine="0" autoPict="0">
            <anchor moveWithCells="1">
              <from>
                <xdr:col>1</xdr:col>
                <xdr:colOff>927100</xdr:colOff>
                <xdr:row>9</xdr:row>
                <xdr:rowOff>114300</xdr:rowOff>
              </from>
              <to>
                <xdr:col>3</xdr:col>
                <xdr:colOff>0</xdr:colOff>
                <xdr:row>10</xdr:row>
                <xdr:rowOff>0</xdr:rowOff>
              </to>
            </anchor>
          </controlPr>
        </control>
      </mc:Choice>
    </mc:AlternateContent>
    <mc:AlternateContent xmlns:mc="http://schemas.openxmlformats.org/markup-compatibility/2006">
      <mc:Choice Requires="x14">
        <control shapeId="67684" r:id="rId33" name="Check Box 100">
          <controlPr defaultSize="0" autoFill="0" autoLine="0" autoPict="0">
            <anchor moveWithCells="1">
              <from>
                <xdr:col>1</xdr:col>
                <xdr:colOff>38100</xdr:colOff>
                <xdr:row>9</xdr:row>
                <xdr:rowOff>114300</xdr:rowOff>
              </from>
              <to>
                <xdr:col>1</xdr:col>
                <xdr:colOff>450850</xdr:colOff>
                <xdr:row>10</xdr:row>
                <xdr:rowOff>0</xdr:rowOff>
              </to>
            </anchor>
          </controlPr>
        </control>
      </mc:Choice>
    </mc:AlternateContent>
    <mc:AlternateContent xmlns:mc="http://schemas.openxmlformats.org/markup-compatibility/2006">
      <mc:Choice Requires="x14">
        <control shapeId="67685" r:id="rId34" name="Group Box 101">
          <controlPr defaultSize="0" autoFill="0" autoPict="0">
            <anchor moveWithCells="1">
              <from>
                <xdr:col>0</xdr:col>
                <xdr:colOff>50800</xdr:colOff>
                <xdr:row>96</xdr:row>
                <xdr:rowOff>0</xdr:rowOff>
              </from>
              <to>
                <xdr:col>4</xdr:col>
                <xdr:colOff>76200</xdr:colOff>
                <xdr:row>100</xdr:row>
                <xdr:rowOff>146050</xdr:rowOff>
              </to>
            </anchor>
          </controlPr>
        </control>
      </mc:Choice>
    </mc:AlternateContent>
    <mc:AlternateContent xmlns:mc="http://schemas.openxmlformats.org/markup-compatibility/2006">
      <mc:Choice Requires="x14">
        <control shapeId="67686" r:id="rId35" name="Option Button 102">
          <controlPr defaultSize="0" autoFill="0" autoLine="0" autoPict="0">
            <anchor moveWithCells="1">
              <from>
                <xdr:col>4</xdr:col>
                <xdr:colOff>419100</xdr:colOff>
                <xdr:row>103</xdr:row>
                <xdr:rowOff>0</xdr:rowOff>
              </from>
              <to>
                <xdr:col>5</xdr:col>
                <xdr:colOff>50800</xdr:colOff>
                <xdr:row>104</xdr:row>
                <xdr:rowOff>50800</xdr:rowOff>
              </to>
            </anchor>
          </controlPr>
        </control>
      </mc:Choice>
    </mc:AlternateContent>
    <mc:AlternateContent xmlns:mc="http://schemas.openxmlformats.org/markup-compatibility/2006">
      <mc:Choice Requires="x14">
        <control shapeId="67687" r:id="rId36" name="Option Button 103">
          <controlPr defaultSize="0" autoFill="0" autoLine="0" autoPict="0">
            <anchor moveWithCells="1">
              <from>
                <xdr:col>5</xdr:col>
                <xdr:colOff>571500</xdr:colOff>
                <xdr:row>103</xdr:row>
                <xdr:rowOff>12700</xdr:rowOff>
              </from>
              <to>
                <xdr:col>6</xdr:col>
                <xdr:colOff>0</xdr:colOff>
                <xdr:row>104</xdr:row>
                <xdr:rowOff>12700</xdr:rowOff>
              </to>
            </anchor>
          </controlPr>
        </control>
      </mc:Choice>
    </mc:AlternateContent>
    <mc:AlternateContent xmlns:mc="http://schemas.openxmlformats.org/markup-compatibility/2006">
      <mc:Choice Requires="x14">
        <control shapeId="67688" r:id="rId37" name="Group Box 104">
          <controlPr defaultSize="0" autoFill="0" autoPict="0">
            <anchor moveWithCells="1">
              <from>
                <xdr:col>4</xdr:col>
                <xdr:colOff>361950</xdr:colOff>
                <xdr:row>102</xdr:row>
                <xdr:rowOff>12700</xdr:rowOff>
              </from>
              <to>
                <xdr:col>6</xdr:col>
                <xdr:colOff>533400</xdr:colOff>
                <xdr:row>104</xdr:row>
                <xdr:rowOff>165100</xdr:rowOff>
              </to>
            </anchor>
          </controlPr>
        </control>
      </mc:Choice>
    </mc:AlternateContent>
    <mc:AlternateContent xmlns:mc="http://schemas.openxmlformats.org/markup-compatibility/2006">
      <mc:Choice Requires="x14">
        <control shapeId="67689" r:id="rId38" name="Group Box 105">
          <controlPr defaultSize="0" autoFill="0" autoPict="0">
            <anchor moveWithCells="1">
              <from>
                <xdr:col>0</xdr:col>
                <xdr:colOff>374650</xdr:colOff>
                <xdr:row>96</xdr:row>
                <xdr:rowOff>76200</xdr:rowOff>
              </from>
              <to>
                <xdr:col>4</xdr:col>
                <xdr:colOff>76200</xdr:colOff>
                <xdr:row>100</xdr:row>
                <xdr:rowOff>38100</xdr:rowOff>
              </to>
            </anchor>
          </controlPr>
        </control>
      </mc:Choice>
    </mc:AlternateContent>
    <mc:AlternateContent xmlns:mc="http://schemas.openxmlformats.org/markup-compatibility/2006">
      <mc:Choice Requires="x14">
        <control shapeId="67690" r:id="rId39" name="Option Button 106">
          <controlPr defaultSize="0" autoFill="0" autoLine="0" autoPict="0">
            <anchor moveWithCells="1">
              <from>
                <xdr:col>4</xdr:col>
                <xdr:colOff>419100</xdr:colOff>
                <xdr:row>106</xdr:row>
                <xdr:rowOff>0</xdr:rowOff>
              </from>
              <to>
                <xdr:col>5</xdr:col>
                <xdr:colOff>50800</xdr:colOff>
                <xdr:row>107</xdr:row>
                <xdr:rowOff>50800</xdr:rowOff>
              </to>
            </anchor>
          </controlPr>
        </control>
      </mc:Choice>
    </mc:AlternateContent>
    <mc:AlternateContent xmlns:mc="http://schemas.openxmlformats.org/markup-compatibility/2006">
      <mc:Choice Requires="x14">
        <control shapeId="67691" r:id="rId40" name="Option Button 107">
          <controlPr defaultSize="0" autoFill="0" autoLine="0" autoPict="0">
            <anchor moveWithCells="1">
              <from>
                <xdr:col>5</xdr:col>
                <xdr:colOff>571500</xdr:colOff>
                <xdr:row>106</xdr:row>
                <xdr:rowOff>12700</xdr:rowOff>
              </from>
              <to>
                <xdr:col>6</xdr:col>
                <xdr:colOff>0</xdr:colOff>
                <xdr:row>107</xdr:row>
                <xdr:rowOff>12700</xdr:rowOff>
              </to>
            </anchor>
          </controlPr>
        </control>
      </mc:Choice>
    </mc:AlternateContent>
    <mc:AlternateContent xmlns:mc="http://schemas.openxmlformats.org/markup-compatibility/2006">
      <mc:Choice Requires="x14">
        <control shapeId="67692" r:id="rId41" name="Group Box 108">
          <controlPr defaultSize="0" autoFill="0" autoPict="0">
            <anchor moveWithCells="1">
              <from>
                <xdr:col>4</xdr:col>
                <xdr:colOff>266700</xdr:colOff>
                <xdr:row>105</xdr:row>
                <xdr:rowOff>69850</xdr:rowOff>
              </from>
              <to>
                <xdr:col>6</xdr:col>
                <xdr:colOff>323850</xdr:colOff>
                <xdr:row>108</xdr:row>
                <xdr:rowOff>50800</xdr:rowOff>
              </to>
            </anchor>
          </controlPr>
        </control>
      </mc:Choice>
    </mc:AlternateContent>
  </control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7">
    <tabColor rgb="FF00B050"/>
    <pageSetUpPr fitToPage="1"/>
  </sheetPr>
  <dimension ref="A1:IV86"/>
  <sheetViews>
    <sheetView showGridLines="0" zoomScaleNormal="100" workbookViewId="0"/>
  </sheetViews>
  <sheetFormatPr defaultColWidth="0" defaultRowHeight="16.5" customHeight="1" zeroHeight="1"/>
  <cols>
    <col min="1" max="1" width="11.453125" style="132" customWidth="1"/>
    <col min="2" max="2" width="12.453125" style="132" customWidth="1"/>
    <col min="3" max="3" width="13.54296875" style="132" customWidth="1"/>
    <col min="4" max="6" width="11.54296875" style="132" customWidth="1"/>
    <col min="7" max="7" width="1.54296875" style="132" customWidth="1"/>
    <col min="8" max="8" width="15.54296875" style="132" customWidth="1"/>
    <col min="9" max="10" width="11.54296875" style="132" customWidth="1"/>
    <col min="11" max="11" width="12.81640625" style="132" customWidth="1"/>
    <col min="12" max="12" width="11.54296875" style="132" customWidth="1"/>
    <col min="13" max="16384" width="9.1796875" style="132" hidden="1"/>
  </cols>
  <sheetData>
    <row r="1" spans="1:256" s="38" customFormat="1" ht="60" customHeight="1">
      <c r="A1" s="286" t="str">
        <f>Development!$A$3&amp;" Residential Efficiency Program"</f>
        <v>2025 Residential Efficiency Program</v>
      </c>
      <c r="B1" s="286"/>
      <c r="C1" s="286"/>
      <c r="D1" s="286"/>
      <c r="E1" s="286"/>
      <c r="F1" s="286"/>
      <c r="G1" s="286"/>
      <c r="H1" s="12"/>
      <c r="I1" s="9"/>
      <c r="J1" s="9"/>
      <c r="K1" s="9"/>
      <c r="L1" s="9"/>
      <c r="V1" s="1448"/>
      <c r="W1" s="1448"/>
      <c r="X1" s="1448"/>
      <c r="Y1" s="1448"/>
      <c r="Z1" s="1448"/>
      <c r="AA1" s="1448"/>
      <c r="AB1" s="1448"/>
      <c r="AC1" s="1448"/>
      <c r="AD1" s="1448"/>
      <c r="AE1" s="1448"/>
      <c r="AF1" s="1448"/>
      <c r="AG1" s="1448"/>
      <c r="AH1" s="1448"/>
      <c r="AI1" s="1448"/>
      <c r="AJ1" s="1448"/>
      <c r="AK1" s="1448"/>
      <c r="AL1" s="1448"/>
      <c r="AM1" s="1448"/>
      <c r="AN1" s="1448"/>
      <c r="AO1" s="1448"/>
      <c r="AP1" s="1448"/>
      <c r="AQ1" s="1448"/>
      <c r="AR1" s="1448"/>
      <c r="AS1" s="1448"/>
      <c r="AT1" s="1448"/>
      <c r="AU1" s="1448"/>
      <c r="AV1" s="1448"/>
      <c r="AW1" s="1448"/>
      <c r="AX1" s="1448"/>
      <c r="AY1" s="1448"/>
      <c r="AZ1" s="1448"/>
      <c r="BA1" s="1448"/>
      <c r="BB1" s="1448"/>
      <c r="BC1" s="1448"/>
      <c r="BD1" s="1448"/>
      <c r="BE1" s="1448"/>
      <c r="BF1" s="1448"/>
      <c r="BG1" s="1448"/>
      <c r="BH1" s="1448"/>
      <c r="BI1" s="1448"/>
      <c r="BJ1" s="1448"/>
      <c r="BK1" s="1448"/>
      <c r="BL1" s="1448"/>
      <c r="BM1" s="1448"/>
      <c r="BN1" s="1448"/>
      <c r="BO1" s="1448"/>
      <c r="BP1" s="1448"/>
      <c r="BQ1" s="1448"/>
      <c r="BR1" s="1448"/>
      <c r="BS1" s="1448"/>
      <c r="BT1" s="1448"/>
      <c r="BU1" s="1448"/>
      <c r="BV1" s="1448"/>
      <c r="BW1" s="1448"/>
      <c r="BX1" s="1448"/>
      <c r="BY1" s="1448"/>
      <c r="BZ1" s="1448"/>
      <c r="CA1" s="1448"/>
      <c r="CB1" s="1448"/>
      <c r="CC1" s="1448"/>
      <c r="CD1" s="1448"/>
      <c r="CE1" s="1448"/>
      <c r="CF1" s="1448"/>
      <c r="CG1" s="1448"/>
      <c r="CH1" s="1448"/>
      <c r="CI1" s="1448"/>
      <c r="CJ1" s="1448"/>
      <c r="CK1" s="1448"/>
      <c r="CL1" s="1448"/>
      <c r="CM1" s="1448"/>
      <c r="CN1" s="1448"/>
      <c r="CO1" s="1448"/>
      <c r="CP1" s="1448"/>
      <c r="CQ1" s="1448"/>
      <c r="CR1" s="1448"/>
      <c r="CS1" s="1448"/>
      <c r="CT1" s="1448"/>
      <c r="CU1" s="1448"/>
      <c r="CV1" s="1448"/>
      <c r="CW1" s="1448"/>
      <c r="CX1" s="1448"/>
      <c r="CY1" s="1448"/>
      <c r="CZ1" s="1448"/>
      <c r="DA1" s="1448"/>
      <c r="DB1" s="1448"/>
      <c r="DC1" s="1448"/>
      <c r="DD1" s="1448"/>
      <c r="DE1" s="1448"/>
      <c r="DF1" s="1448"/>
      <c r="DG1" s="1448"/>
      <c r="DH1" s="1448"/>
      <c r="DI1" s="1448"/>
      <c r="DJ1" s="1448"/>
      <c r="DK1" s="1448"/>
      <c r="DL1" s="1448"/>
      <c r="DM1" s="1448"/>
      <c r="DN1" s="1448"/>
      <c r="DO1" s="1448"/>
      <c r="DP1" s="1448"/>
      <c r="DQ1" s="1448"/>
      <c r="DR1" s="1448"/>
      <c r="DS1" s="1448"/>
      <c r="DT1" s="1448"/>
      <c r="DU1" s="1448"/>
      <c r="DV1" s="1448"/>
      <c r="DW1" s="1448"/>
      <c r="DX1" s="1448"/>
      <c r="DY1" s="1448"/>
      <c r="DZ1" s="1448"/>
      <c r="EA1" s="1448"/>
      <c r="EB1" s="1448"/>
      <c r="EC1" s="1448"/>
      <c r="ED1" s="1448"/>
      <c r="EE1" s="1448"/>
      <c r="EF1" s="1448"/>
      <c r="EG1" s="1448"/>
      <c r="EH1" s="1448"/>
      <c r="EI1" s="1448"/>
      <c r="EJ1" s="1448"/>
      <c r="EK1" s="1448"/>
      <c r="EL1" s="1448"/>
      <c r="EM1" s="1448"/>
      <c r="EN1" s="1448"/>
      <c r="EO1" s="1448"/>
      <c r="EP1" s="1448"/>
      <c r="EQ1" s="1448"/>
      <c r="ER1" s="1448"/>
      <c r="ES1" s="1448"/>
      <c r="ET1" s="1448"/>
      <c r="EU1" s="1448"/>
      <c r="EV1" s="1448"/>
      <c r="EW1" s="1448"/>
      <c r="EX1" s="1448"/>
      <c r="EY1" s="1448"/>
      <c r="EZ1" s="1448"/>
      <c r="FA1" s="1448"/>
      <c r="FB1" s="1448"/>
      <c r="FC1" s="1448"/>
      <c r="FD1" s="1448"/>
      <c r="FE1" s="1448"/>
      <c r="FF1" s="1448"/>
      <c r="FG1" s="1448"/>
      <c r="FH1" s="1448"/>
      <c r="FI1" s="1448"/>
      <c r="FJ1" s="1448"/>
      <c r="FK1" s="1448"/>
      <c r="FL1" s="1448"/>
      <c r="FM1" s="1448"/>
      <c r="FN1" s="1448"/>
      <c r="FO1" s="1448"/>
      <c r="FP1" s="1448"/>
      <c r="FQ1" s="1448"/>
      <c r="FR1" s="1448"/>
      <c r="FS1" s="1448"/>
      <c r="FT1" s="1448"/>
      <c r="FU1" s="1448"/>
      <c r="FV1" s="1448"/>
      <c r="FW1" s="1448"/>
      <c r="FX1" s="1448"/>
      <c r="FY1" s="1448"/>
      <c r="FZ1" s="1448"/>
      <c r="GA1" s="1448"/>
      <c r="GB1" s="1448"/>
      <c r="GC1" s="1448"/>
      <c r="GD1" s="1448"/>
      <c r="GE1" s="1448"/>
      <c r="GF1" s="1448"/>
      <c r="GG1" s="1448"/>
      <c r="GH1" s="1448"/>
      <c r="GI1" s="1448"/>
      <c r="GJ1" s="1448"/>
      <c r="GK1" s="1448"/>
      <c r="GL1" s="1448"/>
      <c r="GM1" s="1448"/>
      <c r="GN1" s="1448"/>
      <c r="GO1" s="1448"/>
      <c r="GP1" s="1448"/>
      <c r="GQ1" s="1448"/>
      <c r="GR1" s="1448"/>
      <c r="GS1" s="1448"/>
      <c r="GT1" s="1448"/>
      <c r="GU1" s="1448"/>
      <c r="GV1" s="1448"/>
      <c r="GW1" s="1448"/>
      <c r="GX1" s="1448"/>
      <c r="GY1" s="1448"/>
      <c r="GZ1" s="1448"/>
      <c r="HA1" s="1448"/>
      <c r="HB1" s="1448"/>
      <c r="HC1" s="1448"/>
      <c r="HD1" s="1448"/>
      <c r="HE1" s="1448"/>
      <c r="HF1" s="1448"/>
      <c r="HG1" s="1448"/>
      <c r="HH1" s="1448"/>
      <c r="HI1" s="1448"/>
      <c r="HJ1" s="1448"/>
      <c r="HK1" s="1448"/>
      <c r="HL1" s="1448"/>
      <c r="HM1" s="1448"/>
      <c r="HN1" s="1448"/>
      <c r="HO1" s="1448"/>
      <c r="HP1" s="1448"/>
      <c r="HQ1" s="1448"/>
      <c r="HR1" s="1448"/>
      <c r="HS1" s="1448"/>
      <c r="HT1" s="1448"/>
      <c r="HU1" s="1448"/>
      <c r="HV1" s="1448"/>
      <c r="HW1" s="1448"/>
      <c r="HX1" s="1448"/>
      <c r="HY1" s="1448"/>
      <c r="HZ1" s="1448"/>
      <c r="IA1" s="1448"/>
      <c r="IB1" s="1448"/>
      <c r="IC1" s="1448"/>
      <c r="ID1" s="1448"/>
      <c r="IE1" s="1448"/>
      <c r="IF1" s="1448"/>
      <c r="IG1" s="1448"/>
      <c r="IH1" s="1448"/>
      <c r="II1" s="1448"/>
      <c r="IJ1" s="1448"/>
      <c r="IK1" s="1448"/>
      <c r="IL1" s="1448"/>
      <c r="IM1" s="1448"/>
      <c r="IN1" s="1448"/>
      <c r="IO1" s="1448"/>
      <c r="IP1" s="1448"/>
      <c r="IQ1" s="1448"/>
      <c r="IR1" s="1448"/>
      <c r="IS1" s="1448"/>
      <c r="IT1" s="1448"/>
      <c r="IU1" s="1448"/>
      <c r="IV1" s="1448"/>
    </row>
    <row r="2" spans="1:256" s="38" customFormat="1" ht="60" customHeight="1">
      <c r="A2" s="1450" t="s">
        <v>127</v>
      </c>
      <c r="B2" s="1450"/>
      <c r="C2" s="1450"/>
      <c r="D2" s="1450"/>
      <c r="E2" s="1450"/>
      <c r="F2" s="1450"/>
      <c r="G2" s="1450"/>
      <c r="H2" s="16"/>
      <c r="I2" s="16"/>
      <c r="J2" s="16"/>
      <c r="K2" s="16"/>
      <c r="L2" s="16"/>
      <c r="M2" s="80"/>
      <c r="V2" s="1449"/>
      <c r="W2" s="1449"/>
      <c r="X2" s="1449"/>
      <c r="Y2" s="1449"/>
      <c r="Z2" s="1449"/>
      <c r="AA2" s="1449"/>
      <c r="AB2" s="1449"/>
      <c r="AC2" s="1449"/>
      <c r="AD2" s="1449"/>
      <c r="AE2" s="1449"/>
      <c r="AF2" s="1449"/>
      <c r="AG2" s="1449"/>
      <c r="AH2" s="1449"/>
      <c r="AI2" s="1449"/>
      <c r="AJ2" s="1449"/>
      <c r="AK2" s="1449"/>
      <c r="AL2" s="1449"/>
      <c r="AM2" s="1449"/>
      <c r="AN2" s="1449"/>
      <c r="AO2" s="1449"/>
      <c r="AP2" s="1449"/>
      <c r="AQ2" s="1449"/>
      <c r="AR2" s="1449"/>
      <c r="AS2" s="1449"/>
      <c r="AT2" s="1449"/>
      <c r="AU2" s="1449"/>
      <c r="AV2" s="1449"/>
      <c r="AW2" s="1449"/>
      <c r="AX2" s="1449"/>
      <c r="AY2" s="1449"/>
      <c r="AZ2" s="1449"/>
      <c r="BA2" s="1449"/>
      <c r="BB2" s="1449"/>
      <c r="BC2" s="1449"/>
      <c r="BD2" s="1449"/>
      <c r="BE2" s="1449"/>
      <c r="BF2" s="1449"/>
      <c r="BG2" s="1449"/>
      <c r="BH2" s="1449"/>
      <c r="BI2" s="1449"/>
      <c r="BJ2" s="1449"/>
      <c r="BK2" s="1449"/>
      <c r="BL2" s="1449"/>
      <c r="BM2" s="1449"/>
      <c r="BN2" s="1449"/>
      <c r="BO2" s="1449"/>
      <c r="BP2" s="1449"/>
      <c r="BQ2" s="1449"/>
      <c r="BR2" s="1449"/>
      <c r="BS2" s="1449"/>
      <c r="BT2" s="1449"/>
      <c r="BU2" s="1449"/>
      <c r="BV2" s="1449"/>
      <c r="BW2" s="1449"/>
      <c r="BX2" s="1449"/>
      <c r="BY2" s="1449"/>
      <c r="BZ2" s="1449"/>
      <c r="CA2" s="1449"/>
      <c r="CB2" s="1449"/>
      <c r="CC2" s="1449"/>
      <c r="CD2" s="1449"/>
      <c r="CE2" s="1449"/>
      <c r="CF2" s="1449"/>
      <c r="CG2" s="1449"/>
      <c r="CH2" s="1449"/>
      <c r="CI2" s="1449"/>
      <c r="CJ2" s="1449"/>
      <c r="CK2" s="1449"/>
      <c r="CL2" s="1449"/>
      <c r="CM2" s="1449"/>
      <c r="CN2" s="1449"/>
      <c r="CO2" s="1449"/>
      <c r="CP2" s="1449"/>
      <c r="CQ2" s="1449"/>
      <c r="CR2" s="1449"/>
      <c r="CS2" s="1449"/>
      <c r="CT2" s="1449"/>
      <c r="CU2" s="1449"/>
      <c r="CV2" s="1449"/>
      <c r="CW2" s="1449"/>
      <c r="CX2" s="1449"/>
      <c r="CY2" s="1449"/>
      <c r="CZ2" s="1449"/>
      <c r="DA2" s="1449"/>
      <c r="DB2" s="1449"/>
      <c r="DC2" s="1449"/>
      <c r="DD2" s="1449"/>
      <c r="DE2" s="1449"/>
      <c r="DF2" s="1449"/>
      <c r="DG2" s="1449"/>
      <c r="DH2" s="1449"/>
      <c r="DI2" s="1449"/>
      <c r="DJ2" s="1449"/>
      <c r="DK2" s="1449"/>
      <c r="DL2" s="1449"/>
      <c r="DM2" s="1449"/>
      <c r="DN2" s="1449"/>
      <c r="DO2" s="1449"/>
      <c r="DP2" s="1449"/>
      <c r="DQ2" s="1449"/>
      <c r="DR2" s="1449"/>
      <c r="DS2" s="1449"/>
      <c r="DT2" s="1449"/>
      <c r="DU2" s="1449"/>
      <c r="DV2" s="1449"/>
      <c r="DW2" s="1449"/>
      <c r="DX2" s="1449"/>
      <c r="DY2" s="1449"/>
      <c r="DZ2" s="1449"/>
      <c r="EA2" s="1449"/>
      <c r="EB2" s="1449"/>
      <c r="EC2" s="1449"/>
      <c r="ED2" s="1449"/>
      <c r="EE2" s="1449"/>
      <c r="EF2" s="1449"/>
      <c r="EG2" s="1449"/>
      <c r="EH2" s="1449"/>
      <c r="EI2" s="1449"/>
      <c r="EJ2" s="1449"/>
      <c r="EK2" s="1449"/>
      <c r="EL2" s="1449"/>
      <c r="EM2" s="1449"/>
      <c r="EN2" s="1449"/>
      <c r="EO2" s="1449"/>
      <c r="EP2" s="1449"/>
      <c r="EQ2" s="1449"/>
      <c r="ER2" s="1449"/>
      <c r="ES2" s="1449"/>
      <c r="ET2" s="1449"/>
      <c r="EU2" s="1449"/>
      <c r="EV2" s="1449"/>
      <c r="EW2" s="1449"/>
      <c r="EX2" s="1449"/>
      <c r="EY2" s="1449"/>
      <c r="EZ2" s="1449"/>
      <c r="FA2" s="1449"/>
      <c r="FB2" s="1449"/>
      <c r="FC2" s="1449"/>
      <c r="FD2" s="1449"/>
      <c r="FE2" s="1449"/>
      <c r="FF2" s="1449"/>
      <c r="FG2" s="1449"/>
      <c r="FH2" s="1449"/>
      <c r="FI2" s="1449"/>
      <c r="FJ2" s="1449"/>
      <c r="FK2" s="1449"/>
      <c r="FL2" s="1449"/>
      <c r="FM2" s="1449"/>
      <c r="FN2" s="1449"/>
      <c r="FO2" s="1449"/>
      <c r="FP2" s="1449"/>
      <c r="FQ2" s="1449"/>
      <c r="FR2" s="1449"/>
      <c r="FS2" s="1449"/>
      <c r="FT2" s="1449"/>
      <c r="FU2" s="1449"/>
      <c r="FV2" s="1449"/>
      <c r="FW2" s="1449"/>
      <c r="FX2" s="1449"/>
      <c r="FY2" s="1449"/>
      <c r="FZ2" s="1449"/>
      <c r="GA2" s="1449"/>
      <c r="GB2" s="1449"/>
      <c r="GC2" s="1449"/>
      <c r="GD2" s="1449"/>
      <c r="GE2" s="1449"/>
      <c r="GF2" s="1449"/>
      <c r="GG2" s="1449"/>
      <c r="GH2" s="1449"/>
      <c r="GI2" s="1449"/>
      <c r="GJ2" s="1449"/>
      <c r="GK2" s="1449"/>
      <c r="GL2" s="1449"/>
      <c r="GM2" s="1449"/>
      <c r="GN2" s="1449"/>
      <c r="GO2" s="1449"/>
      <c r="GP2" s="1449"/>
      <c r="GQ2" s="1449"/>
      <c r="GR2" s="1449"/>
      <c r="GS2" s="1449"/>
      <c r="GT2" s="1449"/>
      <c r="GU2" s="1449"/>
      <c r="GV2" s="1449"/>
      <c r="GW2" s="1449"/>
      <c r="GX2" s="1449"/>
      <c r="GY2" s="1449"/>
      <c r="GZ2" s="1449"/>
      <c r="HA2" s="1449"/>
      <c r="HB2" s="1449"/>
      <c r="HC2" s="1449"/>
      <c r="HD2" s="1449"/>
      <c r="HE2" s="1449"/>
      <c r="HF2" s="1449"/>
      <c r="HG2" s="1449"/>
      <c r="HH2" s="1449"/>
      <c r="HI2" s="1449"/>
      <c r="HJ2" s="1449"/>
      <c r="HK2" s="1449"/>
      <c r="HL2" s="1449"/>
      <c r="HM2" s="1449"/>
      <c r="HN2" s="1449"/>
      <c r="HO2" s="1449"/>
      <c r="HP2" s="1449"/>
      <c r="HQ2" s="1449"/>
      <c r="HR2" s="1449"/>
      <c r="HS2" s="1449"/>
      <c r="HT2" s="1449"/>
      <c r="HU2" s="1449"/>
      <c r="HV2" s="1449"/>
      <c r="HW2" s="1449"/>
      <c r="HX2" s="1449"/>
      <c r="HY2" s="1449"/>
      <c r="HZ2" s="1449"/>
      <c r="IA2" s="1449"/>
      <c r="IB2" s="1449"/>
      <c r="IC2" s="1449"/>
      <c r="ID2" s="1449"/>
      <c r="IE2" s="1449"/>
      <c r="IF2" s="1449"/>
      <c r="IG2" s="1449"/>
      <c r="IH2" s="1449"/>
      <c r="II2" s="1449"/>
      <c r="IJ2" s="1449"/>
      <c r="IK2" s="1449"/>
      <c r="IL2" s="1449"/>
      <c r="IM2" s="1449"/>
      <c r="IN2" s="1449"/>
      <c r="IO2" s="1449"/>
      <c r="IP2" s="1449"/>
      <c r="IQ2" s="1449"/>
      <c r="IR2" s="1449"/>
      <c r="IS2" s="1449"/>
      <c r="IT2" s="1449"/>
      <c r="IU2" s="1449"/>
      <c r="IV2" s="1449"/>
    </row>
    <row r="3" spans="1:256" ht="20.149999999999999" customHeight="1">
      <c r="A3" s="1451" t="s">
        <v>128</v>
      </c>
      <c r="B3" s="1451"/>
      <c r="C3" s="1451"/>
      <c r="D3" s="1451"/>
      <c r="E3" s="1451"/>
      <c r="F3" s="1451"/>
      <c r="G3" s="1451"/>
      <c r="H3" s="1451"/>
      <c r="I3" s="1451"/>
      <c r="J3" s="1451"/>
      <c r="K3" s="1451"/>
      <c r="L3" s="1451"/>
    </row>
    <row r="4" spans="1:256" s="81" customFormat="1" ht="18.5" thickBot="1">
      <c r="A4" s="1113" t="s">
        <v>129</v>
      </c>
      <c r="B4" s="1113"/>
      <c r="C4" s="1113"/>
      <c r="D4" s="1113"/>
      <c r="E4" s="1113"/>
      <c r="F4" s="1113"/>
      <c r="G4" s="1113"/>
      <c r="H4" s="1113"/>
      <c r="I4" s="1113"/>
      <c r="J4" s="1113"/>
      <c r="K4" s="1113"/>
      <c r="L4" s="1113"/>
    </row>
    <row r="5" spans="1:256" ht="36.75" customHeight="1">
      <c r="A5" s="1052" t="s">
        <v>163</v>
      </c>
      <c r="B5" s="1052"/>
      <c r="C5" s="1095" t="str">
        <f>IF('Customer Information'!C5="","",'Customer Information'!C5)</f>
        <v/>
      </c>
      <c r="D5" s="1095"/>
      <c r="E5" s="1095"/>
      <c r="F5" s="1095"/>
      <c r="I5" s="285" t="s">
        <v>153</v>
      </c>
      <c r="J5" s="1094" t="str">
        <f>IF('Customer Information'!K9="","",'Customer Information'!K9)</f>
        <v/>
      </c>
      <c r="K5" s="1094"/>
      <c r="L5" s="1094"/>
    </row>
    <row r="6" spans="1:256" ht="24.75" customHeight="1">
      <c r="A6" s="1052" t="s">
        <v>10</v>
      </c>
      <c r="B6" s="1052"/>
      <c r="C6" s="1444" t="str">
        <f>IF('Customer Information'!C6="","",'Customer Information'!C6)</f>
        <v/>
      </c>
      <c r="D6" s="1444"/>
      <c r="E6" s="1444"/>
      <c r="F6" s="1444"/>
      <c r="H6" s="1070" t="s">
        <v>155</v>
      </c>
      <c r="I6" s="1038"/>
      <c r="J6" s="1443" t="str">
        <f>IF('Customer Information'!K10="","",'Customer Information'!K10)</f>
        <v/>
      </c>
      <c r="K6" s="1443"/>
      <c r="L6" s="1443"/>
    </row>
    <row r="7" spans="1:256" ht="30" customHeight="1">
      <c r="A7" s="1052" t="s">
        <v>151</v>
      </c>
      <c r="B7" s="1052"/>
      <c r="C7" s="1092" t="str">
        <f>IF('Customer Information'!C7="","",'Customer Information'!C7)</f>
        <v/>
      </c>
      <c r="D7" s="1092"/>
      <c r="E7" s="1092"/>
      <c r="F7" s="1092"/>
    </row>
    <row r="8" spans="1:256" ht="34" customHeight="1">
      <c r="A8" s="1446" t="s">
        <v>169</v>
      </c>
      <c r="B8" s="1446"/>
      <c r="C8" s="1092" t="str">
        <f>IF('Customer Information'!C8="","",'Customer Information'!C8)</f>
        <v/>
      </c>
      <c r="D8" s="1092"/>
      <c r="E8" s="1092"/>
      <c r="F8" s="1092"/>
      <c r="H8" s="27"/>
      <c r="I8" s="28"/>
      <c r="J8" s="284"/>
      <c r="K8" s="284"/>
      <c r="L8" s="284"/>
    </row>
    <row r="9" spans="1:256" ht="34.5" customHeight="1">
      <c r="A9" s="1446" t="s">
        <v>1328</v>
      </c>
      <c r="B9" s="1446"/>
      <c r="C9" s="1092" t="str">
        <f>IF('EFS Pre-Approval'!C14="","",'EFS Pre-Approval'!C14)</f>
        <v/>
      </c>
      <c r="D9" s="1092"/>
      <c r="E9" s="1092"/>
      <c r="F9" s="1092"/>
      <c r="H9" s="27"/>
      <c r="I9" s="28"/>
      <c r="J9" s="284"/>
      <c r="K9" s="284"/>
      <c r="L9" s="284"/>
    </row>
    <row r="10" spans="1:256" ht="17.25" customHeight="1">
      <c r="A10" s="454"/>
      <c r="B10" s="29"/>
      <c r="C10" s="283"/>
      <c r="D10" s="283"/>
      <c r="E10" s="283"/>
      <c r="F10" s="283"/>
      <c r="G10" s="283"/>
      <c r="H10" s="283"/>
      <c r="I10" s="283"/>
      <c r="J10" s="284"/>
      <c r="K10" s="284"/>
      <c r="L10" s="284"/>
    </row>
    <row r="11" spans="1:256" ht="17.25" customHeight="1" thickBot="1">
      <c r="A11" s="1113" t="s">
        <v>48</v>
      </c>
      <c r="B11" s="1113"/>
      <c r="C11" s="1113"/>
      <c r="D11" s="1113"/>
      <c r="E11" s="1113"/>
      <c r="F11" s="1113"/>
      <c r="G11" s="1113"/>
      <c r="H11" s="1113"/>
      <c r="I11" s="1113"/>
      <c r="J11" s="1113"/>
      <c r="K11" s="1113"/>
      <c r="L11" s="1113"/>
    </row>
    <row r="12" spans="1:256" ht="17.25" customHeight="1">
      <c r="A12" s="29"/>
      <c r="B12" s="29"/>
      <c r="C12" s="283"/>
      <c r="D12" s="283"/>
      <c r="E12" s="283"/>
      <c r="F12" s="283"/>
      <c r="G12" s="283"/>
      <c r="H12" s="283"/>
      <c r="I12" s="283"/>
      <c r="J12" s="284"/>
      <c r="K12" s="284"/>
      <c r="L12" s="284"/>
    </row>
    <row r="13" spans="1:256" ht="17.25" customHeight="1">
      <c r="A13" s="29"/>
      <c r="B13" s="29"/>
      <c r="C13" s="283"/>
      <c r="D13" s="283"/>
      <c r="E13" s="283"/>
      <c r="F13" s="283"/>
      <c r="G13" s="283"/>
      <c r="H13" s="283"/>
      <c r="I13" s="283"/>
      <c r="J13" s="284"/>
      <c r="K13" s="284"/>
      <c r="L13" s="284"/>
    </row>
    <row r="14" spans="1:256" ht="17.25" customHeight="1">
      <c r="A14" s="30"/>
      <c r="B14" s="29"/>
      <c r="C14" s="283"/>
      <c r="D14" s="283"/>
      <c r="E14" s="283"/>
      <c r="F14" s="283"/>
      <c r="G14" s="283"/>
      <c r="H14" s="283"/>
      <c r="I14" s="283"/>
      <c r="J14" s="284"/>
      <c r="K14" s="284"/>
      <c r="L14" s="284"/>
    </row>
    <row r="15" spans="1:256" ht="17.25" customHeight="1">
      <c r="A15" s="29"/>
      <c r="B15" s="29"/>
      <c r="C15" s="283"/>
      <c r="D15" s="283"/>
      <c r="E15" s="283"/>
      <c r="F15" s="283"/>
      <c r="G15" s="283"/>
      <c r="H15" s="283"/>
      <c r="I15" s="283"/>
      <c r="J15" s="284"/>
      <c r="K15" s="284"/>
      <c r="L15" s="284"/>
    </row>
    <row r="16" spans="1:256" s="81" customFormat="1" ht="18.5" thickBot="1">
      <c r="A16" s="1113" t="s">
        <v>130</v>
      </c>
      <c r="B16" s="1113"/>
      <c r="C16" s="1113"/>
      <c r="D16" s="1113"/>
      <c r="E16" s="1113"/>
      <c r="F16" s="1113"/>
      <c r="G16" s="1113"/>
      <c r="H16" s="1113"/>
      <c r="I16" s="1113"/>
      <c r="J16" s="1113"/>
      <c r="K16" s="1113"/>
      <c r="L16" s="1113"/>
    </row>
    <row r="17" spans="1:12" ht="9" customHeight="1">
      <c r="A17" s="29"/>
      <c r="B17" s="29"/>
    </row>
    <row r="18" spans="1:12" ht="17.25" customHeight="1">
      <c r="A18" s="31"/>
      <c r="B18" s="31"/>
      <c r="C18" s="283"/>
      <c r="D18" s="283"/>
      <c r="E18" s="283"/>
      <c r="F18" s="283"/>
      <c r="G18" s="283"/>
      <c r="H18" s="283"/>
      <c r="I18" s="283"/>
      <c r="J18" s="284"/>
      <c r="K18" s="284"/>
      <c r="L18" s="284"/>
    </row>
    <row r="19" spans="1:12" ht="26.15" customHeight="1">
      <c r="A19" s="1038" t="s">
        <v>131</v>
      </c>
      <c r="B19" s="1038"/>
      <c r="C19" s="1038"/>
      <c r="D19" s="83"/>
      <c r="I19" s="70"/>
      <c r="J19" s="285" t="s">
        <v>132</v>
      </c>
      <c r="K19" s="1445"/>
      <c r="L19" s="1445"/>
    </row>
    <row r="20" spans="1:12" ht="26.15" customHeight="1">
      <c r="A20" s="282"/>
      <c r="B20" s="282"/>
      <c r="C20" s="282"/>
      <c r="D20" s="284"/>
      <c r="E20" s="284"/>
      <c r="F20" s="284"/>
      <c r="H20" s="282"/>
      <c r="I20" s="282"/>
      <c r="J20" s="282"/>
      <c r="K20" s="32"/>
      <c r="L20" s="32"/>
    </row>
    <row r="21" spans="1:12" ht="26.15" customHeight="1">
      <c r="K21" s="285" t="s">
        <v>133</v>
      </c>
      <c r="L21" s="64"/>
    </row>
    <row r="22" spans="1:12" ht="18" customHeight="1"/>
    <row r="23" spans="1:12" ht="18" customHeight="1">
      <c r="A23" s="1447" t="s">
        <v>143</v>
      </c>
      <c r="B23" s="1447"/>
      <c r="C23" s="1447"/>
      <c r="D23" s="1447"/>
      <c r="E23" s="1447"/>
      <c r="F23" s="1447"/>
      <c r="G23" s="1447"/>
      <c r="H23" s="1447"/>
      <c r="I23" s="1447"/>
      <c r="J23" s="1447"/>
      <c r="K23" s="1447"/>
      <c r="L23" s="1447"/>
    </row>
    <row r="24" spans="1:12" ht="18" customHeight="1">
      <c r="A24" s="33"/>
      <c r="H24" s="33"/>
    </row>
    <row r="25" spans="1:12" ht="18" customHeight="1">
      <c r="A25" s="29"/>
      <c r="H25" s="29"/>
    </row>
    <row r="26" spans="1:12" ht="18" customHeight="1">
      <c r="B26" s="34" t="s">
        <v>139</v>
      </c>
      <c r="H26" s="35"/>
    </row>
    <row r="27" spans="1:12" ht="18" customHeight="1"/>
    <row r="28" spans="1:12" s="81" customFormat="1" ht="18">
      <c r="A28" s="1436" t="s">
        <v>106</v>
      </c>
      <c r="B28" s="1436"/>
      <c r="C28" s="1436"/>
      <c r="D28" s="1436"/>
      <c r="E28" s="1436"/>
      <c r="F28" s="1436"/>
      <c r="G28" s="1436"/>
      <c r="H28" s="1436"/>
      <c r="I28" s="1436"/>
      <c r="J28" s="1436"/>
      <c r="K28" s="1436"/>
      <c r="L28" s="1436"/>
    </row>
    <row r="29" spans="1:12" ht="3" customHeight="1">
      <c r="A29" s="1442"/>
      <c r="B29" s="1442"/>
      <c r="C29" s="1442"/>
      <c r="D29" s="1442"/>
      <c r="E29" s="1442"/>
      <c r="F29" s="1442"/>
      <c r="G29" s="1442"/>
      <c r="H29" s="1442"/>
      <c r="I29" s="1442"/>
      <c r="J29" s="1442"/>
      <c r="K29" s="1442"/>
      <c r="L29" s="1442"/>
    </row>
    <row r="30" spans="1:12" ht="74.25" customHeight="1">
      <c r="A30" s="1439" t="s">
        <v>179</v>
      </c>
      <c r="B30" s="1440"/>
      <c r="C30" s="1440"/>
      <c r="D30" s="1440"/>
      <c r="E30" s="1440"/>
      <c r="F30" s="1440"/>
      <c r="G30" s="1440"/>
      <c r="H30" s="1440"/>
      <c r="I30" s="1440"/>
      <c r="J30" s="1440"/>
      <c r="K30" s="1440"/>
      <c r="L30" s="1440"/>
    </row>
    <row r="31" spans="1:12" ht="44.25" customHeight="1">
      <c r="A31" s="1435" t="s">
        <v>138</v>
      </c>
      <c r="B31" s="1435"/>
      <c r="C31" s="1435"/>
      <c r="D31" s="1435"/>
      <c r="E31" s="1435"/>
      <c r="F31" s="1435"/>
      <c r="G31" s="1435"/>
      <c r="H31" s="1435"/>
      <c r="I31" s="1435"/>
      <c r="J31" s="1435"/>
      <c r="K31" s="1435"/>
      <c r="L31" s="1435"/>
    </row>
    <row r="32" spans="1:12" ht="20.149999999999999" customHeight="1">
      <c r="A32" s="296"/>
      <c r="B32" s="36"/>
      <c r="C32" s="36"/>
      <c r="D32" s="36"/>
      <c r="E32" s="36"/>
      <c r="F32" s="36"/>
      <c r="G32" s="36"/>
      <c r="H32" s="36"/>
      <c r="I32" s="36"/>
      <c r="J32" s="36"/>
      <c r="K32" s="36"/>
      <c r="L32" s="36"/>
    </row>
    <row r="33" spans="1:13" ht="30" customHeight="1">
      <c r="A33" s="1046" t="s">
        <v>107</v>
      </c>
      <c r="B33" s="1046"/>
      <c r="C33" s="1027"/>
      <c r="D33" s="1027"/>
      <c r="E33" s="1027"/>
      <c r="F33" s="1027"/>
      <c r="G33" s="1027"/>
      <c r="H33" s="1027"/>
      <c r="I33" s="1027"/>
    </row>
    <row r="34" spans="1:13" ht="20.149999999999999" customHeight="1">
      <c r="A34" s="280"/>
      <c r="B34" s="281"/>
      <c r="C34" s="283"/>
      <c r="D34" s="283"/>
      <c r="E34" s="283"/>
      <c r="F34" s="283"/>
      <c r="G34" s="283"/>
      <c r="H34" s="283"/>
      <c r="I34" s="283"/>
    </row>
    <row r="35" spans="1:13" ht="34.5" customHeight="1">
      <c r="A35" s="1046" t="s">
        <v>108</v>
      </c>
      <c r="B35" s="1046"/>
      <c r="C35" s="1437"/>
      <c r="D35" s="1437"/>
      <c r="E35" s="1437"/>
      <c r="F35" s="1437"/>
      <c r="G35" s="1437"/>
      <c r="H35" s="1437"/>
      <c r="I35" s="1437"/>
      <c r="J35" s="70" t="s">
        <v>9</v>
      </c>
      <c r="K35" s="1248"/>
      <c r="L35" s="1019"/>
      <c r="M35" s="82"/>
    </row>
    <row r="36" spans="1:13" s="81" customFormat="1" ht="18.5" thickBot="1">
      <c r="A36" s="1436"/>
      <c r="B36" s="1436"/>
      <c r="C36" s="1436"/>
      <c r="D36" s="1436"/>
      <c r="E36" s="1436"/>
      <c r="F36" s="1436"/>
      <c r="G36" s="1436"/>
      <c r="H36" s="1436"/>
      <c r="I36" s="1436"/>
      <c r="J36" s="1436"/>
      <c r="K36" s="1436"/>
      <c r="L36" s="1436"/>
    </row>
    <row r="37" spans="1:13" s="81" customFormat="1" ht="18">
      <c r="A37" s="1438" t="s">
        <v>134</v>
      </c>
      <c r="B37" s="1438"/>
      <c r="C37" s="1438"/>
      <c r="D37" s="1438"/>
      <c r="E37" s="1438"/>
      <c r="F37" s="1438"/>
      <c r="G37" s="1438"/>
      <c r="H37" s="1438"/>
      <c r="I37" s="1438"/>
      <c r="J37" s="1438"/>
      <c r="K37" s="1438"/>
      <c r="L37" s="1438"/>
    </row>
    <row r="38" spans="1:13" ht="87" customHeight="1">
      <c r="A38" s="1439" t="s">
        <v>180</v>
      </c>
      <c r="B38" s="1440"/>
      <c r="C38" s="1440"/>
      <c r="D38" s="1440"/>
      <c r="E38" s="1440"/>
      <c r="F38" s="1440"/>
      <c r="G38" s="1440"/>
      <c r="H38" s="1440"/>
      <c r="I38" s="1440"/>
      <c r="J38" s="1440"/>
      <c r="K38" s="1440"/>
      <c r="L38" s="1440"/>
    </row>
    <row r="39" spans="1:13" ht="20.149999999999999" customHeight="1">
      <c r="A39" s="296"/>
      <c r="B39" s="36"/>
      <c r="C39" s="36"/>
      <c r="D39" s="36"/>
      <c r="E39" s="36"/>
      <c r="F39" s="36"/>
      <c r="G39" s="36"/>
      <c r="H39" s="36"/>
      <c r="I39" s="36"/>
      <c r="J39" s="36"/>
      <c r="K39" s="36"/>
      <c r="L39" s="36"/>
    </row>
    <row r="40" spans="1:13" ht="20.149999999999999" customHeight="1">
      <c r="A40" s="296"/>
      <c r="B40" s="36"/>
      <c r="C40" s="36"/>
      <c r="D40" s="36"/>
      <c r="E40" s="36"/>
      <c r="F40" s="36"/>
      <c r="G40" s="36"/>
      <c r="H40" s="36"/>
      <c r="I40" s="36"/>
      <c r="J40" s="36"/>
      <c r="K40" s="36"/>
      <c r="L40" s="36"/>
    </row>
    <row r="41" spans="1:13" ht="30" customHeight="1">
      <c r="A41" s="282" t="s">
        <v>135</v>
      </c>
      <c r="C41" s="1441" t="str">
        <f>IF('Customer Information'!C28="","",'Customer Information'!C28)</f>
        <v/>
      </c>
      <c r="D41" s="1441"/>
      <c r="E41" s="1441"/>
      <c r="F41" s="1441"/>
      <c r="G41" s="1441"/>
      <c r="H41" s="1441"/>
      <c r="I41" s="1441"/>
    </row>
    <row r="42" spans="1:13" ht="20.149999999999999" customHeight="1">
      <c r="A42" s="282"/>
      <c r="C42" s="283"/>
      <c r="D42" s="283"/>
      <c r="E42" s="283"/>
      <c r="F42" s="283"/>
      <c r="G42" s="283"/>
      <c r="H42" s="283"/>
      <c r="I42" s="283"/>
    </row>
    <row r="43" spans="1:13" ht="34.5" customHeight="1">
      <c r="A43" s="282" t="s">
        <v>11</v>
      </c>
      <c r="C43" s="1437"/>
      <c r="D43" s="1437"/>
      <c r="E43" s="1437"/>
      <c r="F43" s="1437"/>
      <c r="G43" s="1437"/>
      <c r="H43" s="1437"/>
      <c r="I43" s="1437"/>
      <c r="J43" s="70" t="s">
        <v>9</v>
      </c>
      <c r="K43" s="1248"/>
      <c r="L43" s="1019"/>
      <c r="M43" s="82"/>
    </row>
    <row r="44" spans="1:13" ht="20.149999999999999" customHeight="1">
      <c r="A44" s="280"/>
      <c r="B44" s="280"/>
      <c r="J44" s="70"/>
      <c r="K44" s="37"/>
      <c r="L44" s="37"/>
    </row>
    <row r="45" spans="1:13" ht="20.149999999999999" customHeight="1">
      <c r="A45" s="70" t="s">
        <v>136</v>
      </c>
      <c r="C45" s="63"/>
      <c r="D45" s="173" t="s">
        <v>368</v>
      </c>
      <c r="E45" s="63"/>
      <c r="F45" s="63"/>
      <c r="G45" s="63"/>
      <c r="H45" s="63"/>
      <c r="I45" s="63"/>
      <c r="J45" s="63"/>
      <c r="K45" s="63"/>
    </row>
    <row r="46" spans="1:13" ht="20.149999999999999" customHeight="1">
      <c r="A46" s="280"/>
      <c r="B46" s="280"/>
      <c r="J46" s="70"/>
      <c r="K46" s="37"/>
      <c r="L46" s="37"/>
    </row>
    <row r="47" spans="1:13" ht="14"/>
    <row r="78" spans="2:11" s="88" customFormat="1" ht="14"/>
    <row r="79" spans="2:11" ht="16.5" customHeight="1">
      <c r="B79" s="87" t="s">
        <v>165</v>
      </c>
      <c r="C79" s="481" t="str">
        <f>Development!$A$2</f>
        <v>1.0</v>
      </c>
      <c r="J79" s="87" t="s">
        <v>167</v>
      </c>
      <c r="K79" s="86" t="str">
        <f>Development!$A$4</f>
        <v>01.01.2025</v>
      </c>
    </row>
    <row r="80" spans="2:11" ht="16.5" customHeight="1"/>
    <row r="81" ht="16.5" customHeight="1"/>
    <row r="82" ht="16.5" customHeight="1"/>
    <row r="83" ht="16.5" customHeight="1"/>
    <row r="84" ht="16.5" customHeight="1"/>
    <row r="85" ht="16.5" customHeight="1"/>
    <row r="86" ht="16.5" customHeight="1"/>
  </sheetData>
  <sheetProtection algorithmName="SHA-512" hashValue="x9Z2k/jDJBSyBmvOiZBTqWsREzv1GTDihsst+GHaftgHWjEKdKNW6ciAFi2P1mBzu104iBx6tCMgsJtqdcUcdw==" saltValue="AABz0I1ACJeb/JVlPTStxw==" spinCount="100000" sheet="1" objects="1" scenarios="1"/>
  <mergeCells count="84">
    <mergeCell ref="GJ1:GS1"/>
    <mergeCell ref="HN1:HW1"/>
    <mergeCell ref="IH2:IQ2"/>
    <mergeCell ref="FP1:FY1"/>
    <mergeCell ref="HX2:IG2"/>
    <mergeCell ref="GJ2:GS2"/>
    <mergeCell ref="HX1:IG1"/>
    <mergeCell ref="HN2:HW2"/>
    <mergeCell ref="IH1:IQ1"/>
    <mergeCell ref="GT1:HC1"/>
    <mergeCell ref="GT2:HC2"/>
    <mergeCell ref="IR1:IV1"/>
    <mergeCell ref="IR2:IV2"/>
    <mergeCell ref="CX1:DG1"/>
    <mergeCell ref="CD2:CM2"/>
    <mergeCell ref="HD2:HM2"/>
    <mergeCell ref="CX2:DG2"/>
    <mergeCell ref="EB1:EK1"/>
    <mergeCell ref="FF1:FO1"/>
    <mergeCell ref="HD1:HM1"/>
    <mergeCell ref="FZ1:GI1"/>
    <mergeCell ref="EV1:FE1"/>
    <mergeCell ref="EV2:FE2"/>
    <mergeCell ref="FZ2:GI2"/>
    <mergeCell ref="FF2:FO2"/>
    <mergeCell ref="FP2:FY2"/>
    <mergeCell ref="DR1:EA1"/>
    <mergeCell ref="EB2:EK2"/>
    <mergeCell ref="BJ2:BS2"/>
    <mergeCell ref="A5:B5"/>
    <mergeCell ref="C5:F5"/>
    <mergeCell ref="J5:L5"/>
    <mergeCell ref="DH2:DQ2"/>
    <mergeCell ref="DR2:EA2"/>
    <mergeCell ref="A2:G2"/>
    <mergeCell ref="A3:L3"/>
    <mergeCell ref="CN2:CW2"/>
    <mergeCell ref="AF2:AO2"/>
    <mergeCell ref="BT2:CC2"/>
    <mergeCell ref="AZ2:BI2"/>
    <mergeCell ref="A23:L23"/>
    <mergeCell ref="EL1:EU1"/>
    <mergeCell ref="BT1:CC1"/>
    <mergeCell ref="BJ1:BS1"/>
    <mergeCell ref="DH1:DQ1"/>
    <mergeCell ref="CD1:CM1"/>
    <mergeCell ref="CN1:CW1"/>
    <mergeCell ref="V1:AE1"/>
    <mergeCell ref="AF1:AO1"/>
    <mergeCell ref="AP1:AY1"/>
    <mergeCell ref="AZ1:BI1"/>
    <mergeCell ref="V2:AE2"/>
    <mergeCell ref="AP2:AY2"/>
    <mergeCell ref="A4:L4"/>
    <mergeCell ref="EL2:EU2"/>
    <mergeCell ref="A6:B6"/>
    <mergeCell ref="K19:L19"/>
    <mergeCell ref="A19:C19"/>
    <mergeCell ref="A8:B8"/>
    <mergeCell ref="C8:F8"/>
    <mergeCell ref="A11:L11"/>
    <mergeCell ref="C9:F9"/>
    <mergeCell ref="A9:B9"/>
    <mergeCell ref="J6:L6"/>
    <mergeCell ref="A7:B7"/>
    <mergeCell ref="C6:F6"/>
    <mergeCell ref="A16:L16"/>
    <mergeCell ref="C7:F7"/>
    <mergeCell ref="H6:I6"/>
    <mergeCell ref="A31:L31"/>
    <mergeCell ref="A28:L28"/>
    <mergeCell ref="C43:I43"/>
    <mergeCell ref="K43:L43"/>
    <mergeCell ref="A33:B33"/>
    <mergeCell ref="C33:I33"/>
    <mergeCell ref="A35:B35"/>
    <mergeCell ref="A36:L36"/>
    <mergeCell ref="K35:L35"/>
    <mergeCell ref="A37:L37"/>
    <mergeCell ref="A38:L38"/>
    <mergeCell ref="C41:I41"/>
    <mergeCell ref="C35:I35"/>
    <mergeCell ref="A29:L29"/>
    <mergeCell ref="A30:L30"/>
  </mergeCells>
  <hyperlinks>
    <hyperlink ref="D45" r:id="rId1" xr:uid="{00000000-0004-0000-1800-000000000000}"/>
  </hyperlinks>
  <printOptions horizontalCentered="1"/>
  <pageMargins left="0.2" right="0.2" top="0.75" bottom="0.75" header="0.3" footer="0.3"/>
  <pageSetup scale="56" orientation="portrait" r:id="rId2"/>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6626" r:id="rId5" name="Check Box 2">
              <controlPr defaultSize="0" autoFill="0" autoLine="0" autoPict="0">
                <anchor moveWithCells="1">
                  <from>
                    <xdr:col>0</xdr:col>
                    <xdr:colOff>57150</xdr:colOff>
                    <xdr:row>12</xdr:row>
                    <xdr:rowOff>0</xdr:rowOff>
                  </from>
                  <to>
                    <xdr:col>4</xdr:col>
                    <xdr:colOff>374650</xdr:colOff>
                    <xdr:row>13</xdr:row>
                    <xdr:rowOff>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0</xdr:col>
                    <xdr:colOff>57150</xdr:colOff>
                    <xdr:row>12</xdr:row>
                    <xdr:rowOff>342900</xdr:rowOff>
                  </from>
                  <to>
                    <xdr:col>2</xdr:col>
                    <xdr:colOff>476250</xdr:colOff>
                    <xdr:row>14</xdr:row>
                    <xdr:rowOff>0</xdr:rowOff>
                  </to>
                </anchor>
              </controlPr>
            </control>
          </mc:Choice>
        </mc:AlternateContent>
        <mc:AlternateContent xmlns:mc="http://schemas.openxmlformats.org/markup-compatibility/2006">
          <mc:Choice Requires="x14">
            <control shapeId="26628" r:id="rId7" name="Option Button 4">
              <controlPr defaultSize="0" autoFill="0" autoLine="0" autoPict="0">
                <anchor moveWithCells="1">
                  <from>
                    <xdr:col>4</xdr:col>
                    <xdr:colOff>152400</xdr:colOff>
                    <xdr:row>23</xdr:row>
                    <xdr:rowOff>88900</xdr:rowOff>
                  </from>
                  <to>
                    <xdr:col>8</xdr:col>
                    <xdr:colOff>469900</xdr:colOff>
                    <xdr:row>24</xdr:row>
                    <xdr:rowOff>88900</xdr:rowOff>
                  </to>
                </anchor>
              </controlPr>
            </control>
          </mc:Choice>
        </mc:AlternateContent>
        <mc:AlternateContent xmlns:mc="http://schemas.openxmlformats.org/markup-compatibility/2006">
          <mc:Choice Requires="x14">
            <control shapeId="26629" r:id="rId8" name="Option Button 5">
              <controlPr defaultSize="0" autoFill="0" autoLine="0" autoPict="0">
                <anchor moveWithCells="1">
                  <from>
                    <xdr:col>1</xdr:col>
                    <xdr:colOff>0</xdr:colOff>
                    <xdr:row>24</xdr:row>
                    <xdr:rowOff>38100</xdr:rowOff>
                  </from>
                  <to>
                    <xdr:col>3</xdr:col>
                    <xdr:colOff>0</xdr:colOff>
                    <xdr:row>25</xdr:row>
                    <xdr:rowOff>69850</xdr:rowOff>
                  </to>
                </anchor>
              </controlPr>
            </control>
          </mc:Choice>
        </mc:AlternateContent>
        <mc:AlternateContent xmlns:mc="http://schemas.openxmlformats.org/markup-compatibility/2006">
          <mc:Choice Requires="x14">
            <control shapeId="26630" r:id="rId9" name="Option Button 6">
              <controlPr defaultSize="0" autoFill="0" autoLine="0" autoPict="0">
                <anchor moveWithCells="1">
                  <from>
                    <xdr:col>1</xdr:col>
                    <xdr:colOff>0</xdr:colOff>
                    <xdr:row>23</xdr:row>
                    <xdr:rowOff>114300</xdr:rowOff>
                  </from>
                  <to>
                    <xdr:col>4</xdr:col>
                    <xdr:colOff>12700</xdr:colOff>
                    <xdr:row>24</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00B050"/>
    <pageSetUpPr fitToPage="1"/>
  </sheetPr>
  <dimension ref="A1:M179"/>
  <sheetViews>
    <sheetView showGridLines="0" zoomScaleNormal="100" workbookViewId="0">
      <selection activeCell="B28" sqref="B28:K28"/>
    </sheetView>
  </sheetViews>
  <sheetFormatPr defaultColWidth="0" defaultRowHeight="16.5" customHeight="1" zeroHeight="1"/>
  <cols>
    <col min="1" max="1" width="2" style="132" customWidth="1"/>
    <col min="2" max="2" width="13.54296875" style="132" customWidth="1"/>
    <col min="3" max="3" width="15.26953125" style="132" customWidth="1"/>
    <col min="4" max="10" width="13.54296875" style="132" customWidth="1"/>
    <col min="11" max="11" width="20.81640625" style="132" customWidth="1"/>
    <col min="12" max="12" width="0.54296875" style="132" customWidth="1"/>
    <col min="13" max="13" width="0" style="132" hidden="1" customWidth="1"/>
    <col min="14" max="16384" width="8.81640625" style="132" hidden="1"/>
  </cols>
  <sheetData>
    <row r="1" spans="1:12" s="163" customFormat="1" ht="60" customHeight="1">
      <c r="A1" s="1078" t="str">
        <f>'Customer Information'!A1</f>
        <v>2025 Commercial Efficiency Program</v>
      </c>
      <c r="B1" s="1078"/>
      <c r="C1" s="1078"/>
      <c r="D1" s="1078"/>
      <c r="E1" s="1078"/>
      <c r="F1" s="1078"/>
      <c r="G1" s="1078"/>
      <c r="H1" s="718"/>
      <c r="I1" s="14"/>
      <c r="J1" s="14"/>
      <c r="K1" s="14"/>
      <c r="L1" s="14"/>
    </row>
    <row r="2" spans="1:12" s="232" customFormat="1" ht="21.5">
      <c r="A2" s="1079" t="str">
        <f>'Customer Information'!A2:H2</f>
        <v>Commercial Weatherization Rebate Application, Version 1.0</v>
      </c>
      <c r="B2" s="1079"/>
      <c r="C2" s="1079"/>
      <c r="D2" s="1079"/>
      <c r="E2" s="1079"/>
      <c r="F2" s="1079"/>
      <c r="G2" s="1079"/>
      <c r="H2" s="719"/>
    </row>
    <row r="3" spans="1:12" s="187" customFormat="1" ht="23.5" thickBot="1">
      <c r="A3" s="1080" t="s">
        <v>594</v>
      </c>
      <c r="B3" s="1080"/>
      <c r="C3" s="1080"/>
      <c r="D3" s="1080"/>
      <c r="E3" s="1080"/>
      <c r="F3" s="722"/>
      <c r="G3" s="722"/>
      <c r="H3" s="720"/>
      <c r="I3" s="720"/>
      <c r="J3" s="720"/>
      <c r="K3" s="720"/>
      <c r="L3" s="13"/>
    </row>
    <row r="4" spans="1:12" s="187" customFormat="1" ht="10.5" customHeight="1" thickTop="1">
      <c r="A4" s="569" t="s">
        <v>1884</v>
      </c>
      <c r="B4" s="570"/>
      <c r="C4" s="570"/>
      <c r="D4" s="570"/>
      <c r="E4" s="570"/>
      <c r="F4" s="570"/>
      <c r="G4" s="570"/>
      <c r="H4" s="570"/>
      <c r="I4" s="570"/>
      <c r="J4" s="570"/>
      <c r="K4" s="570"/>
      <c r="L4" s="13"/>
    </row>
    <row r="5" spans="1:12" s="187" customFormat="1" ht="23.25" customHeight="1">
      <c r="A5" s="189" t="s">
        <v>1885</v>
      </c>
      <c r="B5" s="1081" t="s">
        <v>1987</v>
      </c>
      <c r="C5" s="1081"/>
      <c r="D5" s="1081"/>
      <c r="E5" s="1081"/>
      <c r="F5" s="1081"/>
      <c r="G5" s="1081"/>
      <c r="H5" s="1081"/>
      <c r="I5" s="1081"/>
      <c r="J5" s="1081"/>
      <c r="K5" s="1081"/>
      <c r="L5" s="13"/>
    </row>
    <row r="6" spans="1:12" s="187" customFormat="1" ht="23.25" customHeight="1">
      <c r="A6" s="189" t="s">
        <v>1886</v>
      </c>
      <c r="B6" s="1075" t="s">
        <v>1887</v>
      </c>
      <c r="C6" s="1075"/>
      <c r="D6" s="1075"/>
      <c r="E6" s="1075"/>
      <c r="F6" s="1075"/>
      <c r="G6" s="1075"/>
      <c r="H6" s="1075"/>
      <c r="I6" s="1075"/>
      <c r="J6" s="1075"/>
      <c r="K6" s="1075"/>
      <c r="L6" s="13"/>
    </row>
    <row r="7" spans="1:12" s="187" customFormat="1" ht="23">
      <c r="A7" s="571" t="s">
        <v>1888</v>
      </c>
      <c r="B7" s="572" t="s">
        <v>1889</v>
      </c>
      <c r="C7" s="572"/>
      <c r="D7" s="572"/>
      <c r="E7" s="572"/>
      <c r="F7" s="572"/>
      <c r="G7" s="572"/>
      <c r="H7" s="572"/>
      <c r="I7" s="572"/>
      <c r="J7" s="572"/>
      <c r="K7" s="572"/>
      <c r="L7" s="13"/>
    </row>
    <row r="8" spans="1:12" s="187" customFormat="1" ht="9.75" customHeight="1">
      <c r="A8" s="569" t="s">
        <v>1890</v>
      </c>
      <c r="B8" s="570"/>
      <c r="C8" s="570"/>
      <c r="D8" s="570"/>
      <c r="E8" s="570"/>
      <c r="F8" s="570"/>
      <c r="G8" s="570"/>
      <c r="H8" s="570"/>
      <c r="I8" s="570"/>
      <c r="J8" s="570"/>
      <c r="K8" s="570"/>
      <c r="L8" s="13"/>
    </row>
    <row r="9" spans="1:12" s="187" customFormat="1" ht="23.25" customHeight="1">
      <c r="A9" s="571" t="s">
        <v>1885</v>
      </c>
      <c r="B9" s="1075" t="s">
        <v>1988</v>
      </c>
      <c r="C9" s="1075"/>
      <c r="D9" s="1075"/>
      <c r="E9" s="1075"/>
      <c r="F9" s="1075"/>
      <c r="G9" s="1075"/>
      <c r="H9" s="1075"/>
      <c r="I9" s="1075"/>
      <c r="J9" s="1075"/>
      <c r="K9" s="1075"/>
      <c r="L9" s="13"/>
    </row>
    <row r="10" spans="1:12" s="187" customFormat="1" ht="23.25" customHeight="1">
      <c r="A10" s="571" t="s">
        <v>1886</v>
      </c>
      <c r="B10" s="1075" t="s">
        <v>1891</v>
      </c>
      <c r="C10" s="1075"/>
      <c r="D10" s="1075"/>
      <c r="E10" s="1075"/>
      <c r="F10" s="1075"/>
      <c r="G10" s="1075"/>
      <c r="H10" s="1075"/>
      <c r="I10" s="1075"/>
      <c r="J10" s="1075"/>
      <c r="K10" s="1075"/>
      <c r="L10" s="13"/>
    </row>
    <row r="11" spans="1:12" s="187" customFormat="1" ht="8.25" customHeight="1">
      <c r="A11" s="569" t="s">
        <v>1892</v>
      </c>
      <c r="B11" s="570"/>
      <c r="C11" s="570"/>
      <c r="D11" s="570"/>
      <c r="E11" s="570"/>
      <c r="F11" s="570"/>
      <c r="G11" s="570"/>
      <c r="H11" s="570"/>
      <c r="I11" s="570"/>
      <c r="J11" s="570"/>
      <c r="K11" s="570"/>
      <c r="L11" s="13"/>
    </row>
    <row r="12" spans="1:12" s="187" customFormat="1" ht="23.25" customHeight="1">
      <c r="A12" s="571" t="s">
        <v>1885</v>
      </c>
      <c r="B12" s="1075" t="s">
        <v>1893</v>
      </c>
      <c r="C12" s="1075"/>
      <c r="D12" s="1075"/>
      <c r="E12" s="1075"/>
      <c r="F12" s="1075"/>
      <c r="G12" s="1075"/>
      <c r="H12" s="1075"/>
      <c r="I12" s="1075"/>
      <c r="J12" s="1075"/>
      <c r="K12" s="1075"/>
      <c r="L12" s="13"/>
    </row>
    <row r="13" spans="1:12" s="187" customFormat="1" ht="23">
      <c r="A13" s="571" t="s">
        <v>1886</v>
      </c>
      <c r="B13" s="287" t="s">
        <v>1894</v>
      </c>
      <c r="C13" s="287"/>
      <c r="D13" s="287"/>
      <c r="E13" s="287"/>
      <c r="F13" s="287"/>
      <c r="G13" s="287"/>
      <c r="H13" s="287"/>
      <c r="I13" s="287"/>
      <c r="J13" s="287"/>
      <c r="K13" s="287"/>
      <c r="L13" s="13"/>
    </row>
    <row r="14" spans="1:12" s="187" customFormat="1" ht="9.75" customHeight="1">
      <c r="A14" s="569" t="s">
        <v>1895</v>
      </c>
      <c r="B14" s="570"/>
      <c r="C14" s="570"/>
      <c r="D14" s="570"/>
      <c r="E14" s="570"/>
      <c r="F14" s="570"/>
      <c r="G14" s="570"/>
      <c r="H14" s="570"/>
      <c r="I14" s="570"/>
      <c r="J14" s="570"/>
      <c r="K14" s="570"/>
      <c r="L14" s="13"/>
    </row>
    <row r="15" spans="1:12" s="187" customFormat="1" ht="45" customHeight="1">
      <c r="A15" s="572"/>
      <c r="B15" s="1075" t="s">
        <v>1896</v>
      </c>
      <c r="C15" s="1075"/>
      <c r="D15" s="1075"/>
      <c r="E15" s="1075"/>
      <c r="F15" s="1075"/>
      <c r="G15" s="1075"/>
      <c r="H15" s="1075"/>
      <c r="I15" s="1075"/>
      <c r="J15" s="1075"/>
      <c r="K15" s="1075"/>
      <c r="L15" s="13"/>
    </row>
    <row r="16" spans="1:12" s="187" customFormat="1" ht="9.75" customHeight="1">
      <c r="A16" s="569" t="s">
        <v>1897</v>
      </c>
      <c r="B16" s="570"/>
      <c r="C16" s="570"/>
      <c r="D16" s="570"/>
      <c r="E16" s="570"/>
      <c r="F16" s="570"/>
      <c r="G16" s="570"/>
      <c r="H16" s="570"/>
      <c r="I16" s="570"/>
      <c r="J16" s="570"/>
      <c r="K16" s="570"/>
      <c r="L16" s="13"/>
    </row>
    <row r="17" spans="1:12" s="187" customFormat="1" ht="23.25" customHeight="1">
      <c r="A17" s="571" t="s">
        <v>1885</v>
      </c>
      <c r="B17" s="1075" t="s">
        <v>1898</v>
      </c>
      <c r="C17" s="1075"/>
      <c r="D17" s="1075"/>
      <c r="E17" s="1075"/>
      <c r="F17" s="1075"/>
      <c r="G17" s="1075"/>
      <c r="H17" s="1075"/>
      <c r="I17" s="1075"/>
      <c r="J17" s="1075"/>
      <c r="K17" s="1075"/>
      <c r="L17" s="13"/>
    </row>
    <row r="18" spans="1:12" s="187" customFormat="1" ht="23.25" customHeight="1">
      <c r="A18" s="571" t="s">
        <v>1886</v>
      </c>
      <c r="B18" s="1075" t="s">
        <v>1899</v>
      </c>
      <c r="C18" s="1075"/>
      <c r="D18" s="1075"/>
      <c r="E18" s="1075"/>
      <c r="F18" s="1075"/>
      <c r="G18" s="1075"/>
      <c r="H18" s="1075"/>
      <c r="I18" s="1075"/>
      <c r="J18" s="1075"/>
      <c r="K18" s="1075"/>
      <c r="L18" s="13"/>
    </row>
    <row r="19" spans="1:12" s="187" customFormat="1" ht="9.75" customHeight="1">
      <c r="A19" s="569" t="s">
        <v>1900</v>
      </c>
      <c r="B19" s="570"/>
      <c r="C19" s="570"/>
      <c r="D19" s="570"/>
      <c r="E19" s="570"/>
      <c r="F19" s="570"/>
      <c r="G19" s="570"/>
      <c r="H19" s="570"/>
      <c r="I19" s="570"/>
      <c r="J19" s="570"/>
      <c r="K19" s="570"/>
      <c r="L19" s="13"/>
    </row>
    <row r="20" spans="1:12" s="187" customFormat="1" ht="23.25" customHeight="1">
      <c r="A20" s="572"/>
      <c r="B20" s="1075" t="s">
        <v>1901</v>
      </c>
      <c r="C20" s="1075"/>
      <c r="D20" s="1075"/>
      <c r="E20" s="1075"/>
      <c r="F20" s="1075"/>
      <c r="G20" s="1075"/>
      <c r="H20" s="1075"/>
      <c r="I20" s="1075"/>
      <c r="J20" s="1075"/>
      <c r="K20" s="1075"/>
      <c r="L20" s="13"/>
    </row>
    <row r="21" spans="1:12" s="163" customFormat="1" ht="8.25" customHeight="1">
      <c r="A21" s="569" t="s">
        <v>1902</v>
      </c>
      <c r="B21" s="570"/>
      <c r="C21" s="570"/>
      <c r="D21" s="570"/>
      <c r="E21" s="570"/>
      <c r="F21" s="570"/>
      <c r="G21" s="570"/>
      <c r="H21" s="570"/>
      <c r="I21" s="570"/>
      <c r="J21" s="570"/>
      <c r="K21" s="570"/>
      <c r="L21" s="132"/>
    </row>
    <row r="22" spans="1:12" s="163" customFormat="1" ht="16.5" customHeight="1">
      <c r="A22" s="571" t="s">
        <v>1885</v>
      </c>
      <c r="B22" s="287" t="s">
        <v>1903</v>
      </c>
      <c r="C22" s="287"/>
      <c r="D22" s="287"/>
      <c r="E22" s="287"/>
      <c r="F22" s="287"/>
      <c r="G22" s="287"/>
      <c r="H22" s="287"/>
      <c r="I22" s="287"/>
      <c r="J22" s="287"/>
      <c r="K22" s="287"/>
      <c r="L22" s="188"/>
    </row>
    <row r="23" spans="1:12" s="163" customFormat="1" ht="16.5" customHeight="1">
      <c r="A23" s="571" t="s">
        <v>1886</v>
      </c>
      <c r="B23" s="1075" t="s">
        <v>2150</v>
      </c>
      <c r="C23" s="1075"/>
      <c r="D23" s="1075"/>
      <c r="E23" s="1075"/>
      <c r="F23" s="1075"/>
      <c r="G23" s="1075"/>
      <c r="H23" s="1075"/>
      <c r="I23" s="1075"/>
      <c r="J23" s="1075"/>
      <c r="K23" s="1075"/>
      <c r="L23" s="188"/>
    </row>
    <row r="24" spans="1:12" s="163" customFormat="1" ht="16.5" customHeight="1">
      <c r="A24" s="571" t="s">
        <v>1888</v>
      </c>
      <c r="B24" s="1075" t="s">
        <v>1904</v>
      </c>
      <c r="C24" s="1075"/>
      <c r="D24" s="1075"/>
      <c r="E24" s="1075"/>
      <c r="F24" s="1075"/>
      <c r="G24" s="1075"/>
      <c r="H24" s="1075"/>
      <c r="I24" s="1075"/>
      <c r="J24" s="1075"/>
      <c r="K24" s="1075"/>
      <c r="L24" s="188"/>
    </row>
    <row r="25" spans="1:12" s="163" customFormat="1" ht="16.5" customHeight="1">
      <c r="A25" s="571" t="s">
        <v>1905</v>
      </c>
      <c r="B25" s="1075" t="s">
        <v>1906</v>
      </c>
      <c r="C25" s="1075"/>
      <c r="D25" s="1075"/>
      <c r="E25" s="1075"/>
      <c r="F25" s="1075"/>
      <c r="G25" s="1075"/>
      <c r="H25" s="1075"/>
      <c r="I25" s="1075"/>
      <c r="J25" s="1075"/>
      <c r="K25" s="1075"/>
      <c r="L25" s="188"/>
    </row>
    <row r="26" spans="1:12" s="163" customFormat="1" ht="16.5" customHeight="1">
      <c r="A26" s="571" t="s">
        <v>1907</v>
      </c>
      <c r="B26" s="287" t="s">
        <v>1908</v>
      </c>
      <c r="C26" s="287"/>
      <c r="D26" s="287"/>
      <c r="E26" s="287"/>
      <c r="F26" s="287"/>
      <c r="G26" s="287"/>
      <c r="H26" s="287"/>
      <c r="I26" s="287"/>
      <c r="J26" s="287"/>
      <c r="K26" s="287"/>
      <c r="L26" s="188"/>
    </row>
    <row r="27" spans="1:12" s="163" customFormat="1" ht="16.5" customHeight="1">
      <c r="A27" s="571" t="s">
        <v>1909</v>
      </c>
      <c r="B27" s="1075" t="s">
        <v>1910</v>
      </c>
      <c r="C27" s="1075"/>
      <c r="D27" s="1075"/>
      <c r="E27" s="1075"/>
      <c r="F27" s="1075"/>
      <c r="G27" s="1075"/>
      <c r="H27" s="1075"/>
      <c r="I27" s="1075"/>
      <c r="J27" s="1075"/>
      <c r="K27" s="1075"/>
      <c r="L27" s="188"/>
    </row>
    <row r="28" spans="1:12" s="163" customFormat="1" ht="30" customHeight="1">
      <c r="A28" s="571" t="s">
        <v>1911</v>
      </c>
      <c r="B28" s="1075" t="s">
        <v>1912</v>
      </c>
      <c r="C28" s="1075"/>
      <c r="D28" s="1075"/>
      <c r="E28" s="1075"/>
      <c r="F28" s="1075"/>
      <c r="G28" s="1075"/>
      <c r="H28" s="1075"/>
      <c r="I28" s="1075"/>
      <c r="J28" s="1075"/>
      <c r="K28" s="1075"/>
      <c r="L28" s="188"/>
    </row>
    <row r="29" spans="1:12" s="163" customFormat="1" ht="9.75" customHeight="1">
      <c r="A29" s="569" t="s">
        <v>1913</v>
      </c>
      <c r="B29" s="570"/>
      <c r="C29" s="570"/>
      <c r="D29" s="570"/>
      <c r="E29" s="570"/>
      <c r="F29" s="570"/>
      <c r="G29" s="570"/>
      <c r="H29" s="570"/>
      <c r="I29" s="570"/>
      <c r="J29" s="570"/>
      <c r="K29" s="570"/>
      <c r="L29" s="188"/>
    </row>
    <row r="30" spans="1:12" s="163" customFormat="1" ht="20.25" customHeight="1">
      <c r="A30" s="571" t="s">
        <v>1885</v>
      </c>
      <c r="B30" s="1075" t="s">
        <v>1914</v>
      </c>
      <c r="C30" s="1075"/>
      <c r="D30" s="1075"/>
      <c r="E30" s="1075"/>
      <c r="F30" s="1075"/>
      <c r="G30" s="1075"/>
      <c r="H30" s="1075"/>
      <c r="I30" s="1075"/>
      <c r="J30" s="1075"/>
      <c r="K30" s="1075"/>
      <c r="L30" s="188"/>
    </row>
    <row r="31" spans="1:12" s="163" customFormat="1" ht="27.75" customHeight="1">
      <c r="A31" s="571" t="s">
        <v>1886</v>
      </c>
      <c r="B31" s="1075" t="s">
        <v>1915</v>
      </c>
      <c r="C31" s="1075"/>
      <c r="D31" s="1075"/>
      <c r="E31" s="1075"/>
      <c r="F31" s="1075"/>
      <c r="G31" s="1075"/>
      <c r="H31" s="1075"/>
      <c r="I31" s="1075"/>
      <c r="J31" s="1075"/>
      <c r="K31" s="1075"/>
      <c r="L31" s="188"/>
    </row>
    <row r="32" spans="1:12" s="163" customFormat="1" ht="16.5" customHeight="1">
      <c r="A32" s="571" t="s">
        <v>1888</v>
      </c>
      <c r="B32" s="572" t="s">
        <v>1916</v>
      </c>
      <c r="C32" s="572"/>
      <c r="D32" s="572"/>
      <c r="E32" s="572"/>
      <c r="F32" s="572"/>
      <c r="G32" s="572"/>
      <c r="H32" s="572"/>
      <c r="I32" s="572"/>
      <c r="J32" s="572"/>
      <c r="K32" s="572"/>
      <c r="L32" s="188"/>
    </row>
    <row r="33" spans="1:12" s="163" customFormat="1" ht="9.75" customHeight="1">
      <c r="A33" s="569" t="s">
        <v>1917</v>
      </c>
      <c r="B33" s="570"/>
      <c r="C33" s="570"/>
      <c r="D33" s="570"/>
      <c r="E33" s="570"/>
      <c r="F33" s="570"/>
      <c r="G33" s="570"/>
      <c r="H33" s="570"/>
      <c r="I33" s="570"/>
      <c r="J33" s="570"/>
      <c r="K33" s="570"/>
      <c r="L33" s="188"/>
    </row>
    <row r="34" spans="1:12" s="163" customFormat="1" ht="16.5" customHeight="1">
      <c r="A34" s="572"/>
      <c r="B34" s="1075" t="s">
        <v>1918</v>
      </c>
      <c r="C34" s="1075"/>
      <c r="D34" s="1075"/>
      <c r="E34" s="1075"/>
      <c r="F34" s="1075"/>
      <c r="G34" s="1075"/>
      <c r="H34" s="1075"/>
      <c r="I34" s="1075"/>
      <c r="J34" s="1075"/>
      <c r="K34" s="1075"/>
      <c r="L34" s="188"/>
    </row>
    <row r="35" spans="1:12" s="163" customFormat="1" ht="9.75" customHeight="1">
      <c r="A35" s="569" t="s">
        <v>1919</v>
      </c>
      <c r="B35" s="570"/>
      <c r="C35" s="570"/>
      <c r="D35" s="570"/>
      <c r="E35" s="570"/>
      <c r="F35" s="570"/>
      <c r="G35" s="570"/>
      <c r="H35" s="570"/>
      <c r="I35" s="570"/>
      <c r="J35" s="570"/>
      <c r="K35" s="570"/>
      <c r="L35" s="188"/>
    </row>
    <row r="36" spans="1:12" s="163" customFormat="1" ht="27" customHeight="1">
      <c r="A36" s="572"/>
      <c r="B36" s="1075" t="s">
        <v>1920</v>
      </c>
      <c r="C36" s="1075"/>
      <c r="D36" s="1075"/>
      <c r="E36" s="1075"/>
      <c r="F36" s="1075"/>
      <c r="G36" s="1075"/>
      <c r="H36" s="1075"/>
      <c r="I36" s="1075"/>
      <c r="J36" s="1075"/>
      <c r="K36" s="1075"/>
      <c r="L36" s="188"/>
    </row>
    <row r="37" spans="1:12" s="163" customFormat="1" ht="9.75" customHeight="1">
      <c r="A37" s="569" t="s">
        <v>1921</v>
      </c>
      <c r="B37" s="570"/>
      <c r="C37" s="570"/>
      <c r="D37" s="570"/>
      <c r="E37" s="570"/>
      <c r="F37" s="570"/>
      <c r="G37" s="570"/>
      <c r="H37" s="570"/>
      <c r="I37" s="570"/>
      <c r="J37" s="570"/>
      <c r="K37" s="570"/>
      <c r="L37" s="188"/>
    </row>
    <row r="38" spans="1:12" s="163" customFormat="1" ht="26.25" customHeight="1">
      <c r="A38" s="572"/>
      <c r="B38" s="1075" t="s">
        <v>1922</v>
      </c>
      <c r="C38" s="1075"/>
      <c r="D38" s="1075"/>
      <c r="E38" s="1075"/>
      <c r="F38" s="1075"/>
      <c r="G38" s="1075"/>
      <c r="H38" s="1075"/>
      <c r="I38" s="1075"/>
      <c r="J38" s="1075"/>
      <c r="K38" s="1075"/>
      <c r="L38" s="188"/>
    </row>
    <row r="39" spans="1:12" s="163" customFormat="1" ht="9.75" customHeight="1">
      <c r="A39" s="569"/>
      <c r="B39" s="570"/>
      <c r="C39" s="570"/>
      <c r="D39" s="570"/>
      <c r="E39" s="570"/>
      <c r="F39" s="570"/>
      <c r="G39" s="570"/>
      <c r="H39" s="570"/>
      <c r="I39" s="570"/>
      <c r="J39" s="570"/>
      <c r="K39" s="570"/>
      <c r="L39" s="188"/>
    </row>
    <row r="40" spans="1:12" s="163" customFormat="1" ht="16.5" customHeight="1">
      <c r="A40" s="572"/>
      <c r="B40" s="1082"/>
      <c r="C40" s="1082"/>
      <c r="D40" s="1082"/>
      <c r="E40" s="1082"/>
      <c r="F40" s="1082"/>
      <c r="G40" s="1082"/>
      <c r="H40" s="1082"/>
      <c r="I40" s="1082"/>
      <c r="J40" s="1082"/>
      <c r="K40" s="1082"/>
      <c r="L40" s="188"/>
    </row>
    <row r="41" spans="1:12" s="163" customFormat="1" ht="9" customHeight="1">
      <c r="A41" s="569" t="s">
        <v>1992</v>
      </c>
      <c r="B41" s="570"/>
      <c r="C41" s="570"/>
      <c r="D41" s="570"/>
      <c r="E41" s="570"/>
      <c r="F41" s="570"/>
      <c r="G41" s="570"/>
      <c r="H41" s="570"/>
      <c r="I41" s="570"/>
      <c r="J41" s="570"/>
      <c r="K41" s="570"/>
      <c r="L41" s="188"/>
    </row>
    <row r="42" spans="1:12" s="163" customFormat="1" ht="16.5" customHeight="1">
      <c r="A42" s="571" t="s">
        <v>1885</v>
      </c>
      <c r="B42" s="1075" t="s">
        <v>1923</v>
      </c>
      <c r="C42" s="1075"/>
      <c r="D42" s="1075"/>
      <c r="E42" s="1075"/>
      <c r="F42" s="1075"/>
      <c r="G42" s="1075"/>
      <c r="H42" s="1075"/>
      <c r="I42" s="1075"/>
      <c r="J42" s="1075"/>
      <c r="K42" s="1075"/>
      <c r="L42" s="188"/>
    </row>
    <row r="43" spans="1:12" s="163" customFormat="1" ht="16.5" customHeight="1">
      <c r="A43" s="571" t="s">
        <v>1886</v>
      </c>
      <c r="B43" s="287" t="s">
        <v>1924</v>
      </c>
      <c r="C43" s="287"/>
      <c r="D43" s="287"/>
      <c r="E43" s="287"/>
      <c r="F43" s="287"/>
      <c r="G43" s="287"/>
      <c r="H43" s="287"/>
      <c r="I43" s="287"/>
      <c r="J43" s="287"/>
      <c r="K43" s="287"/>
      <c r="L43" s="188"/>
    </row>
    <row r="44" spans="1:12" s="163" customFormat="1" ht="10.5" customHeight="1">
      <c r="A44" s="569" t="s">
        <v>1993</v>
      </c>
      <c r="B44" s="570"/>
      <c r="C44" s="570"/>
      <c r="D44" s="570"/>
      <c r="E44" s="570"/>
      <c r="F44" s="570"/>
      <c r="G44" s="570"/>
      <c r="H44" s="570"/>
      <c r="I44" s="570"/>
      <c r="J44" s="570"/>
      <c r="K44" s="570"/>
      <c r="L44" s="188"/>
    </row>
    <row r="45" spans="1:12" s="163" customFormat="1" ht="9.75" customHeight="1">
      <c r="A45" s="572"/>
      <c r="B45" s="287" t="s">
        <v>1925</v>
      </c>
      <c r="C45" s="287"/>
      <c r="D45" s="287"/>
      <c r="E45" s="287"/>
      <c r="F45" s="287"/>
      <c r="G45" s="287"/>
      <c r="H45" s="287"/>
      <c r="I45" s="287"/>
      <c r="J45" s="287"/>
      <c r="K45" s="287"/>
      <c r="L45" s="188"/>
    </row>
    <row r="46" spans="1:12" s="163" customFormat="1" ht="16.5" customHeight="1">
      <c r="A46" s="572"/>
      <c r="B46" s="1075" t="s">
        <v>1926</v>
      </c>
      <c r="C46" s="1075"/>
      <c r="D46" s="1075"/>
      <c r="E46" s="1075"/>
      <c r="F46" s="1075"/>
      <c r="G46" s="1075"/>
      <c r="H46" s="1075"/>
      <c r="I46" s="1075"/>
      <c r="J46" s="1075"/>
      <c r="K46" s="1075"/>
      <c r="L46" s="287"/>
    </row>
    <row r="47" spans="1:12" s="163" customFormat="1" ht="10.5" customHeight="1">
      <c r="A47" s="569" t="s">
        <v>1994</v>
      </c>
      <c r="B47" s="570"/>
      <c r="C47" s="570"/>
      <c r="D47" s="570"/>
      <c r="E47" s="570"/>
      <c r="F47" s="570"/>
      <c r="G47" s="570"/>
      <c r="H47" s="570"/>
      <c r="I47" s="570"/>
      <c r="J47" s="570"/>
      <c r="K47" s="570"/>
      <c r="L47" s="287"/>
    </row>
    <row r="48" spans="1:12" s="163" customFormat="1" ht="16.5" customHeight="1">
      <c r="A48" s="571" t="s">
        <v>1885</v>
      </c>
      <c r="B48" s="1075" t="s">
        <v>1927</v>
      </c>
      <c r="C48" s="1075"/>
      <c r="D48" s="1075"/>
      <c r="E48" s="1075"/>
      <c r="F48" s="1075"/>
      <c r="G48" s="1075"/>
      <c r="H48" s="1075"/>
      <c r="I48" s="1075"/>
      <c r="J48" s="1075"/>
      <c r="K48" s="1075"/>
      <c r="L48" s="287"/>
    </row>
    <row r="49" spans="1:12" s="163" customFormat="1" ht="16.5" customHeight="1">
      <c r="A49" s="571" t="s">
        <v>1886</v>
      </c>
      <c r="B49" s="1075" t="s">
        <v>1928</v>
      </c>
      <c r="C49" s="1075"/>
      <c r="D49" s="1075"/>
      <c r="E49" s="1075"/>
      <c r="F49" s="1075"/>
      <c r="G49" s="1075"/>
      <c r="H49" s="1075"/>
      <c r="I49" s="1075"/>
      <c r="J49" s="1075"/>
      <c r="K49" s="1075"/>
      <c r="L49" s="188"/>
    </row>
    <row r="50" spans="1:12" s="163" customFormat="1" ht="40.5" customHeight="1">
      <c r="A50" s="571" t="s">
        <v>1888</v>
      </c>
      <c r="B50" s="1075" t="s">
        <v>1929</v>
      </c>
      <c r="C50" s="1075"/>
      <c r="D50" s="1075"/>
      <c r="E50" s="1075"/>
      <c r="F50" s="1075"/>
      <c r="G50" s="1075"/>
      <c r="H50" s="1075"/>
      <c r="I50" s="1075"/>
      <c r="J50" s="1075"/>
      <c r="K50" s="1075"/>
      <c r="L50" s="188"/>
    </row>
    <row r="51" spans="1:12" s="163" customFormat="1" ht="9" customHeight="1">
      <c r="A51" s="569" t="s">
        <v>1995</v>
      </c>
      <c r="B51" s="570"/>
      <c r="C51" s="570"/>
      <c r="D51" s="570"/>
      <c r="E51" s="570"/>
      <c r="F51" s="570"/>
      <c r="G51" s="570"/>
      <c r="H51" s="570"/>
      <c r="I51" s="570"/>
      <c r="J51" s="570"/>
      <c r="K51" s="570"/>
      <c r="L51" s="188"/>
    </row>
    <row r="52" spans="1:12" s="163" customFormat="1" ht="33" customHeight="1">
      <c r="A52" s="572"/>
      <c r="B52" s="572" t="s">
        <v>1930</v>
      </c>
      <c r="C52" s="572"/>
      <c r="D52" s="572"/>
      <c r="E52" s="572"/>
      <c r="F52" s="572"/>
      <c r="G52" s="572"/>
      <c r="H52" s="572"/>
      <c r="I52" s="572"/>
      <c r="J52" s="572"/>
      <c r="K52" s="572"/>
      <c r="L52" s="287"/>
    </row>
    <row r="53" spans="1:12" s="163" customFormat="1" ht="9" customHeight="1">
      <c r="A53" s="569" t="s">
        <v>1996</v>
      </c>
      <c r="B53" s="570"/>
      <c r="C53" s="570"/>
      <c r="D53" s="570"/>
      <c r="E53" s="570"/>
      <c r="F53" s="570"/>
      <c r="G53" s="570"/>
      <c r="H53" s="570"/>
      <c r="I53" s="570"/>
      <c r="J53" s="570"/>
      <c r="K53" s="570"/>
      <c r="L53" s="287"/>
    </row>
    <row r="54" spans="1:12" s="163" customFormat="1" ht="16.5" customHeight="1">
      <c r="A54" s="572"/>
      <c r="B54" s="1075" t="s">
        <v>1931</v>
      </c>
      <c r="C54" s="1075"/>
      <c r="D54" s="1075"/>
      <c r="E54" s="1075"/>
      <c r="F54" s="1075"/>
      <c r="G54" s="1075"/>
      <c r="H54" s="1075"/>
      <c r="I54" s="1075"/>
      <c r="J54" s="1075"/>
      <c r="K54" s="1075"/>
      <c r="L54" s="188"/>
    </row>
    <row r="55" spans="1:12" s="163" customFormat="1" ht="9.75" customHeight="1">
      <c r="A55" s="569" t="s">
        <v>1997</v>
      </c>
      <c r="B55" s="570"/>
      <c r="C55" s="570"/>
      <c r="D55" s="570"/>
      <c r="E55" s="570"/>
      <c r="F55" s="570"/>
      <c r="G55" s="570"/>
      <c r="H55" s="570"/>
      <c r="I55" s="570"/>
      <c r="J55" s="570"/>
      <c r="K55" s="570"/>
      <c r="L55" s="287"/>
    </row>
    <row r="56" spans="1:12" s="163" customFormat="1" ht="27" customHeight="1">
      <c r="A56" s="572"/>
      <c r="B56" s="1075" t="s">
        <v>1932</v>
      </c>
      <c r="C56" s="1075"/>
      <c r="D56" s="1075"/>
      <c r="E56" s="1075"/>
      <c r="F56" s="1075"/>
      <c r="G56" s="1075"/>
      <c r="H56" s="1075"/>
      <c r="I56" s="1075"/>
      <c r="J56" s="1075"/>
      <c r="K56" s="1075"/>
      <c r="L56" s="287"/>
    </row>
    <row r="57" spans="1:12" s="163" customFormat="1" ht="9.75" customHeight="1">
      <c r="A57" s="569" t="s">
        <v>1998</v>
      </c>
      <c r="B57" s="570"/>
      <c r="C57" s="570"/>
      <c r="D57" s="570"/>
      <c r="E57" s="570"/>
      <c r="F57" s="570"/>
      <c r="G57" s="570"/>
      <c r="H57" s="570"/>
      <c r="I57" s="570"/>
      <c r="J57" s="570"/>
      <c r="K57" s="570"/>
      <c r="L57" s="287"/>
    </row>
    <row r="58" spans="1:12" s="163" customFormat="1" ht="21" customHeight="1">
      <c r="A58" s="572"/>
      <c r="B58" s="1075" t="s">
        <v>1933</v>
      </c>
      <c r="C58" s="1075"/>
      <c r="D58" s="1075"/>
      <c r="E58" s="1075"/>
      <c r="F58" s="1075"/>
      <c r="G58" s="1075"/>
      <c r="H58" s="1075"/>
      <c r="I58" s="1075"/>
      <c r="J58" s="1075"/>
      <c r="K58" s="1075"/>
      <c r="L58" s="287"/>
    </row>
    <row r="59" spans="1:12" s="163" customFormat="1" ht="29.25" customHeight="1">
      <c r="A59" s="572"/>
      <c r="B59" s="1075" t="s">
        <v>1934</v>
      </c>
      <c r="C59" s="1075"/>
      <c r="D59" s="1075"/>
      <c r="E59" s="1075"/>
      <c r="F59" s="1075"/>
      <c r="G59" s="1075"/>
      <c r="H59" s="1075"/>
      <c r="I59" s="1075"/>
      <c r="J59" s="1075"/>
      <c r="K59" s="1075"/>
      <c r="L59" s="287"/>
    </row>
    <row r="60" spans="1:12" s="163" customFormat="1" ht="9" customHeight="1">
      <c r="A60" s="569" t="s">
        <v>1999</v>
      </c>
      <c r="B60" s="570"/>
      <c r="C60" s="570"/>
      <c r="D60" s="570"/>
      <c r="E60" s="570"/>
      <c r="F60" s="570"/>
      <c r="G60" s="570"/>
      <c r="H60" s="570"/>
      <c r="I60" s="570"/>
      <c r="J60" s="570"/>
      <c r="K60" s="570"/>
      <c r="L60" s="287"/>
    </row>
    <row r="61" spans="1:12" s="163" customFormat="1" ht="16.5" customHeight="1">
      <c r="A61" s="571" t="s">
        <v>1885</v>
      </c>
      <c r="B61" s="1076" t="s">
        <v>1935</v>
      </c>
      <c r="C61" s="1076"/>
      <c r="D61" s="1076"/>
      <c r="E61" s="1076"/>
      <c r="F61" s="1076"/>
      <c r="G61" s="1076"/>
      <c r="H61" s="1076"/>
      <c r="I61" s="1076"/>
      <c r="J61" s="1076"/>
      <c r="K61" s="1076"/>
      <c r="L61" s="287"/>
    </row>
    <row r="62" spans="1:12" s="163" customFormat="1" ht="33" customHeight="1">
      <c r="A62" s="571" t="s">
        <v>1886</v>
      </c>
      <c r="B62" s="1075" t="s">
        <v>1936</v>
      </c>
      <c r="C62" s="1075"/>
      <c r="D62" s="1075"/>
      <c r="E62" s="1075"/>
      <c r="F62" s="1075"/>
      <c r="G62" s="1075"/>
      <c r="H62" s="1075"/>
      <c r="I62" s="1075"/>
      <c r="J62" s="1075"/>
      <c r="K62" s="1075"/>
      <c r="L62" s="287"/>
    </row>
    <row r="63" spans="1:12" s="163" customFormat="1" ht="9" customHeight="1">
      <c r="A63" s="569" t="s">
        <v>2000</v>
      </c>
      <c r="B63" s="570"/>
      <c r="C63" s="570"/>
      <c r="D63" s="570"/>
      <c r="E63" s="570"/>
      <c r="F63" s="570"/>
      <c r="G63" s="570"/>
      <c r="H63" s="570"/>
      <c r="I63" s="570"/>
      <c r="J63" s="570"/>
      <c r="K63" s="570"/>
      <c r="L63" s="287"/>
    </row>
    <row r="64" spans="1:12" s="163" customFormat="1" ht="16.5" customHeight="1">
      <c r="A64" s="572"/>
      <c r="B64" s="1082" t="s">
        <v>1937</v>
      </c>
      <c r="C64" s="1082"/>
      <c r="D64" s="1082"/>
      <c r="E64" s="1082"/>
      <c r="F64" s="1082"/>
      <c r="G64" s="1082"/>
      <c r="H64" s="1082"/>
      <c r="I64" s="1082"/>
      <c r="J64" s="1082"/>
      <c r="K64" s="1082"/>
      <c r="L64" s="287"/>
    </row>
    <row r="65" spans="1:12" s="163" customFormat="1" ht="11.25" customHeight="1">
      <c r="A65" s="569" t="s">
        <v>2001</v>
      </c>
      <c r="B65" s="570"/>
      <c r="C65" s="570"/>
      <c r="D65" s="570"/>
      <c r="E65" s="570"/>
      <c r="F65" s="570"/>
      <c r="G65" s="570"/>
      <c r="H65" s="570"/>
      <c r="I65" s="570"/>
      <c r="J65" s="570"/>
      <c r="K65" s="570"/>
      <c r="L65" s="287"/>
    </row>
    <row r="66" spans="1:12" s="163" customFormat="1" ht="25.5" customHeight="1">
      <c r="A66" s="572"/>
      <c r="B66" s="1075" t="s">
        <v>1938</v>
      </c>
      <c r="C66" s="1075"/>
      <c r="D66" s="1075"/>
      <c r="E66" s="1075"/>
      <c r="F66" s="1075"/>
      <c r="G66" s="1075"/>
      <c r="H66" s="1075"/>
      <c r="I66" s="1075"/>
      <c r="J66" s="1075"/>
      <c r="K66" s="1075"/>
      <c r="L66" s="287"/>
    </row>
    <row r="67" spans="1:12" s="163" customFormat="1" ht="9" customHeight="1">
      <c r="A67" s="569" t="s">
        <v>2002</v>
      </c>
      <c r="B67" s="570"/>
      <c r="C67" s="570"/>
      <c r="D67" s="570"/>
      <c r="E67" s="570"/>
      <c r="F67" s="570"/>
      <c r="G67" s="570"/>
      <c r="H67" s="570"/>
      <c r="I67" s="570"/>
      <c r="J67" s="570"/>
      <c r="K67" s="570"/>
      <c r="L67" s="287"/>
    </row>
    <row r="68" spans="1:12" s="163" customFormat="1" ht="16.5" customHeight="1">
      <c r="A68" s="572"/>
      <c r="B68" s="572" t="s">
        <v>1939</v>
      </c>
      <c r="C68" s="572"/>
      <c r="D68" s="572"/>
      <c r="E68" s="572"/>
      <c r="F68" s="572"/>
      <c r="G68" s="572"/>
      <c r="H68" s="572"/>
      <c r="I68" s="572"/>
      <c r="J68" s="572"/>
      <c r="K68" s="572"/>
      <c r="L68" s="287"/>
    </row>
    <row r="69" spans="1:12" s="163" customFormat="1" ht="9.75" customHeight="1">
      <c r="A69" s="569" t="s">
        <v>2003</v>
      </c>
      <c r="B69" s="570"/>
      <c r="C69" s="570"/>
      <c r="D69" s="570"/>
      <c r="E69" s="570"/>
      <c r="F69" s="570"/>
      <c r="G69" s="570"/>
      <c r="H69" s="570"/>
      <c r="I69" s="570"/>
      <c r="J69" s="570"/>
      <c r="K69" s="570"/>
      <c r="L69" s="287"/>
    </row>
    <row r="70" spans="1:12" s="163" customFormat="1" ht="25.5" customHeight="1">
      <c r="A70" s="572"/>
      <c r="B70" s="1075" t="s">
        <v>1940</v>
      </c>
      <c r="C70" s="1075"/>
      <c r="D70" s="1075"/>
      <c r="E70" s="1075"/>
      <c r="F70" s="1075"/>
      <c r="G70" s="1075"/>
      <c r="H70" s="1075"/>
      <c r="I70" s="1075"/>
      <c r="J70" s="1075"/>
      <c r="K70" s="1075"/>
      <c r="L70" s="287"/>
    </row>
    <row r="71" spans="1:12" s="163" customFormat="1" ht="9.75" customHeight="1">
      <c r="A71" s="569" t="s">
        <v>2004</v>
      </c>
      <c r="B71" s="570"/>
      <c r="C71" s="570"/>
      <c r="D71" s="570"/>
      <c r="E71" s="570"/>
      <c r="F71" s="570"/>
      <c r="G71" s="570"/>
      <c r="H71" s="570"/>
      <c r="I71" s="570"/>
      <c r="J71" s="570"/>
      <c r="K71" s="570"/>
      <c r="L71" s="287"/>
    </row>
    <row r="72" spans="1:12" s="163" customFormat="1" ht="16.5" customHeight="1">
      <c r="A72" s="571" t="s">
        <v>1885</v>
      </c>
      <c r="B72" s="287" t="s">
        <v>1941</v>
      </c>
      <c r="C72" s="287"/>
      <c r="D72" s="287"/>
      <c r="E72" s="287"/>
      <c r="F72" s="287"/>
      <c r="G72" s="287"/>
      <c r="H72" s="287"/>
      <c r="I72" s="287"/>
      <c r="J72" s="287"/>
      <c r="K72" s="287"/>
      <c r="L72" s="287"/>
    </row>
    <row r="73" spans="1:12" s="163" customFormat="1" ht="16.5" customHeight="1">
      <c r="A73" s="571" t="s">
        <v>1886</v>
      </c>
      <c r="B73" s="1076" t="s">
        <v>1942</v>
      </c>
      <c r="C73" s="1076"/>
      <c r="D73" s="1076"/>
      <c r="E73" s="1076"/>
      <c r="F73" s="1076"/>
      <c r="G73" s="1076"/>
      <c r="H73" s="1076"/>
      <c r="I73" s="1076"/>
      <c r="J73" s="1076"/>
      <c r="K73" s="1076"/>
      <c r="L73" s="287"/>
    </row>
    <row r="74" spans="1:12" s="163" customFormat="1" ht="33" customHeight="1">
      <c r="A74" s="571" t="s">
        <v>1888</v>
      </c>
      <c r="B74" s="1082" t="s">
        <v>1943</v>
      </c>
      <c r="C74" s="1082"/>
      <c r="D74" s="1082"/>
      <c r="E74" s="1082"/>
      <c r="F74" s="1082"/>
      <c r="G74" s="1082"/>
      <c r="H74" s="1082"/>
      <c r="I74" s="1082"/>
      <c r="J74" s="1082"/>
      <c r="K74" s="1082"/>
      <c r="L74" s="188"/>
    </row>
    <row r="75" spans="1:12" s="163" customFormat="1" ht="16.5" customHeight="1">
      <c r="A75" s="571" t="s">
        <v>1905</v>
      </c>
      <c r="B75" s="188" t="s">
        <v>1944</v>
      </c>
      <c r="C75" s="573"/>
      <c r="D75" s="573"/>
      <c r="E75" s="573"/>
      <c r="F75" s="573"/>
      <c r="G75" s="573"/>
      <c r="H75" s="573"/>
      <c r="I75" s="573"/>
      <c r="J75" s="573"/>
      <c r="K75" s="573"/>
      <c r="L75" s="188"/>
    </row>
    <row r="76" spans="1:12" s="163" customFormat="1" ht="16.5" customHeight="1">
      <c r="A76" s="132"/>
      <c r="B76" s="132"/>
      <c r="C76" s="132"/>
      <c r="D76" s="132"/>
      <c r="E76" s="132"/>
      <c r="F76" s="132"/>
      <c r="G76" s="132"/>
      <c r="H76" s="132"/>
      <c r="I76" s="132"/>
      <c r="J76" s="132"/>
      <c r="K76" s="132"/>
      <c r="L76" s="188"/>
    </row>
    <row r="77" spans="1:12" s="163" customFormat="1" ht="16.5" customHeight="1">
      <c r="A77" s="571"/>
      <c r="B77" s="574" t="s">
        <v>1945</v>
      </c>
      <c r="C77" s="573"/>
      <c r="D77" s="573"/>
      <c r="E77" s="573"/>
      <c r="F77" s="575"/>
      <c r="G77" s="576" t="s">
        <v>1946</v>
      </c>
      <c r="H77" s="573"/>
      <c r="I77" s="573"/>
      <c r="J77" s="573"/>
      <c r="K77" s="573"/>
      <c r="L77" s="287"/>
    </row>
    <row r="78" spans="1:12" s="163" customFormat="1" ht="16.5" customHeight="1">
      <c r="B78" s="465"/>
      <c r="C78" s="1077"/>
      <c r="D78" s="1077"/>
      <c r="E78" s="1077"/>
      <c r="F78" s="1077"/>
      <c r="G78" s="1077"/>
      <c r="H78" s="1077"/>
      <c r="I78" s="1077"/>
      <c r="J78" s="1077"/>
      <c r="K78" s="1077"/>
      <c r="L78" s="287"/>
    </row>
    <row r="79" spans="1:12" s="163" customFormat="1" ht="18" customHeight="1">
      <c r="A79" s="74" t="s">
        <v>165</v>
      </c>
      <c r="B79" s="77"/>
      <c r="C79" s="466" t="str">
        <f>Development!$A$2</f>
        <v>1.0</v>
      </c>
      <c r="D79" s="1041"/>
      <c r="E79" s="1041"/>
      <c r="F79" s="1041"/>
      <c r="G79" s="1042"/>
      <c r="H79" s="1042"/>
      <c r="I79" s="1042"/>
      <c r="J79" s="78" t="s">
        <v>167</v>
      </c>
      <c r="K79" s="79" t="str">
        <f>Development!$A$4</f>
        <v>01.01.2025</v>
      </c>
    </row>
    <row r="80" spans="1:12" s="163" customFormat="1" ht="18" hidden="1" customHeight="1">
      <c r="A80" s="189"/>
      <c r="B80" s="1075"/>
      <c r="C80" s="1075"/>
      <c r="D80" s="1075"/>
      <c r="E80" s="1075"/>
      <c r="F80" s="1075"/>
      <c r="G80" s="1075"/>
      <c r="H80" s="1075"/>
      <c r="I80" s="1075"/>
      <c r="J80" s="1075"/>
      <c r="K80" s="1075"/>
      <c r="L80" s="1075"/>
    </row>
    <row r="81" spans="1:12" s="163" customFormat="1" ht="18" hidden="1" customHeight="1">
      <c r="A81" s="189"/>
      <c r="B81" s="287"/>
      <c r="C81" s="287"/>
      <c r="D81" s="287"/>
      <c r="E81" s="287"/>
      <c r="F81" s="287"/>
      <c r="G81" s="287"/>
      <c r="H81" s="287"/>
      <c r="I81" s="287"/>
      <c r="J81" s="287"/>
      <c r="K81" s="287"/>
      <c r="L81" s="287"/>
    </row>
    <row r="82" spans="1:12" s="163" customFormat="1" ht="18" hidden="1" customHeight="1">
      <c r="A82" s="189"/>
      <c r="B82" s="1075"/>
      <c r="C82" s="1075"/>
      <c r="D82" s="1075"/>
      <c r="E82" s="1075"/>
      <c r="F82" s="1075"/>
      <c r="G82" s="1075"/>
      <c r="H82" s="1075"/>
      <c r="I82" s="1075"/>
      <c r="J82" s="1075"/>
      <c r="K82" s="1075"/>
      <c r="L82" s="1075"/>
    </row>
    <row r="83" spans="1:12" s="163" customFormat="1" ht="18" hidden="1" customHeight="1">
      <c r="A83" s="189"/>
      <c r="B83" s="1075"/>
      <c r="C83" s="1075"/>
      <c r="D83" s="1075"/>
      <c r="E83" s="1075"/>
      <c r="F83" s="1075"/>
      <c r="G83" s="1075"/>
      <c r="H83" s="1075"/>
      <c r="I83" s="1075"/>
      <c r="J83" s="1075"/>
      <c r="K83" s="1075"/>
      <c r="L83" s="1075"/>
    </row>
    <row r="84" spans="1:12" s="163" customFormat="1" ht="18" hidden="1" customHeight="1">
      <c r="A84" s="190"/>
      <c r="B84" s="287"/>
      <c r="C84" s="287"/>
      <c r="D84" s="287"/>
      <c r="E84" s="287"/>
      <c r="F84" s="287"/>
      <c r="G84" s="287"/>
      <c r="H84" s="287"/>
      <c r="I84" s="287"/>
      <c r="J84" s="287"/>
      <c r="K84" s="287"/>
      <c r="L84" s="287"/>
    </row>
    <row r="85" spans="1:12" s="163" customFormat="1" ht="18" hidden="1" customHeight="1">
      <c r="A85" s="189"/>
      <c r="B85" s="1075"/>
      <c r="C85" s="1075"/>
      <c r="D85" s="1075"/>
      <c r="E85" s="1075"/>
      <c r="F85" s="1075"/>
      <c r="G85" s="1075"/>
      <c r="H85" s="1075"/>
      <c r="I85" s="1075"/>
      <c r="J85" s="1075"/>
      <c r="K85" s="1075"/>
      <c r="L85" s="1075"/>
    </row>
    <row r="86" spans="1:12" s="163" customFormat="1" ht="18" hidden="1" customHeight="1">
      <c r="A86" s="189"/>
      <c r="B86" s="1075"/>
      <c r="C86" s="1075"/>
      <c r="D86" s="1075"/>
      <c r="E86" s="1075"/>
      <c r="F86" s="1075"/>
      <c r="G86" s="1075"/>
      <c r="H86" s="1075"/>
      <c r="I86" s="1075"/>
      <c r="J86" s="1075"/>
      <c r="K86" s="1075"/>
      <c r="L86" s="1075"/>
    </row>
    <row r="87" spans="1:12" s="163" customFormat="1" ht="18" hidden="1" customHeight="1">
      <c r="A87" s="189"/>
      <c r="B87" s="287"/>
      <c r="C87" s="287"/>
      <c r="D87" s="287"/>
      <c r="E87" s="287"/>
      <c r="F87" s="287"/>
      <c r="G87" s="287"/>
      <c r="H87" s="287"/>
      <c r="I87" s="287"/>
      <c r="J87" s="287"/>
      <c r="K87" s="287"/>
      <c r="L87" s="287"/>
    </row>
    <row r="88" spans="1:12" s="163" customFormat="1" ht="18" hidden="1" customHeight="1">
      <c r="A88" s="190"/>
      <c r="B88" s="287"/>
      <c r="C88" s="287"/>
      <c r="D88" s="287"/>
      <c r="E88" s="287"/>
      <c r="F88" s="287"/>
      <c r="G88" s="287"/>
      <c r="H88" s="287"/>
      <c r="I88" s="287"/>
      <c r="J88" s="287"/>
      <c r="K88" s="287"/>
      <c r="L88" s="287"/>
    </row>
    <row r="89" spans="1:12" s="163" customFormat="1" ht="18" hidden="1" customHeight="1">
      <c r="A89" s="287"/>
      <c r="B89" s="1075"/>
      <c r="C89" s="1075"/>
      <c r="D89" s="1075"/>
      <c r="E89" s="1075"/>
      <c r="F89" s="1075"/>
      <c r="G89" s="1075"/>
      <c r="H89" s="1075"/>
      <c r="I89" s="1075"/>
      <c r="J89" s="1075"/>
      <c r="K89" s="1075"/>
      <c r="L89" s="1075"/>
    </row>
    <row r="90" spans="1:12" s="163" customFormat="1" ht="18" hidden="1" customHeight="1">
      <c r="A90" s="190"/>
      <c r="B90" s="287"/>
      <c r="C90" s="287"/>
      <c r="D90" s="287"/>
      <c r="E90" s="287"/>
      <c r="F90" s="287"/>
      <c r="G90" s="287"/>
      <c r="H90" s="287"/>
      <c r="I90" s="287"/>
      <c r="J90" s="287"/>
      <c r="K90" s="287"/>
      <c r="L90" s="287"/>
    </row>
    <row r="91" spans="1:12" s="163" customFormat="1" ht="18" hidden="1" customHeight="1">
      <c r="A91" s="287"/>
      <c r="B91" s="1075"/>
      <c r="C91" s="1075"/>
      <c r="D91" s="1075"/>
      <c r="E91" s="1075"/>
      <c r="F91" s="1075"/>
      <c r="G91" s="1075"/>
      <c r="H91" s="1075"/>
      <c r="I91" s="1075"/>
      <c r="J91" s="1075"/>
      <c r="K91" s="1075"/>
      <c r="L91" s="1075"/>
    </row>
    <row r="92" spans="1:12" s="163" customFormat="1" ht="18" hidden="1" customHeight="1">
      <c r="A92" s="190"/>
      <c r="B92" s="287"/>
      <c r="C92" s="287"/>
      <c r="D92" s="287"/>
      <c r="E92" s="287"/>
      <c r="F92" s="287"/>
      <c r="G92" s="287"/>
      <c r="H92" s="287"/>
      <c r="I92" s="287"/>
      <c r="J92" s="287"/>
      <c r="K92" s="287"/>
      <c r="L92" s="287"/>
    </row>
    <row r="93" spans="1:12" s="163" customFormat="1" ht="18" hidden="1" customHeight="1">
      <c r="A93" s="287"/>
      <c r="B93" s="1075"/>
      <c r="C93" s="1075"/>
      <c r="D93" s="1075"/>
      <c r="E93" s="1075"/>
      <c r="F93" s="1075"/>
      <c r="G93" s="1075"/>
      <c r="H93" s="1075"/>
      <c r="I93" s="1075"/>
      <c r="J93" s="1075"/>
      <c r="K93" s="1075"/>
      <c r="L93" s="1075"/>
    </row>
    <row r="94" spans="1:12" s="163" customFormat="1" ht="18" hidden="1" customHeight="1">
      <c r="A94" s="190"/>
      <c r="B94" s="287"/>
      <c r="C94" s="287"/>
      <c r="D94" s="287"/>
      <c r="E94" s="287"/>
      <c r="F94" s="287"/>
      <c r="G94" s="287"/>
      <c r="H94" s="287"/>
      <c r="I94" s="287"/>
      <c r="J94" s="287"/>
      <c r="K94" s="287"/>
      <c r="L94" s="287"/>
    </row>
    <row r="95" spans="1:12" s="163" customFormat="1" ht="18" hidden="1" customHeight="1">
      <c r="A95" s="287"/>
      <c r="B95" s="1075"/>
      <c r="C95" s="1075"/>
      <c r="D95" s="1075"/>
      <c r="E95" s="1075"/>
      <c r="F95" s="1075"/>
      <c r="G95" s="1075"/>
      <c r="H95" s="1075"/>
      <c r="I95" s="1075"/>
      <c r="J95" s="1075"/>
      <c r="K95" s="1075"/>
      <c r="L95" s="1075"/>
    </row>
    <row r="96" spans="1:12" s="163" customFormat="1" ht="18" hidden="1" customHeight="1">
      <c r="A96" s="190"/>
      <c r="B96" s="287"/>
      <c r="C96" s="287"/>
      <c r="D96" s="287"/>
      <c r="E96" s="287"/>
      <c r="F96" s="287"/>
      <c r="G96" s="287"/>
      <c r="H96" s="287"/>
      <c r="I96" s="287"/>
      <c r="J96" s="287"/>
      <c r="K96" s="287"/>
      <c r="L96" s="287"/>
    </row>
    <row r="97" spans="1:13" s="163" customFormat="1" ht="18" hidden="1" customHeight="1">
      <c r="A97" s="189"/>
      <c r="B97" s="1075"/>
      <c r="C97" s="1075"/>
      <c r="D97" s="1075"/>
      <c r="E97" s="1075"/>
      <c r="F97" s="1075"/>
      <c r="G97" s="1075"/>
      <c r="H97" s="1075"/>
      <c r="I97" s="1075"/>
      <c r="J97" s="1075"/>
      <c r="K97" s="1075"/>
      <c r="L97" s="1075"/>
    </row>
    <row r="98" spans="1:13" s="162" customFormat="1" ht="18" hidden="1" customHeight="1">
      <c r="A98" s="189"/>
      <c r="B98" s="287"/>
      <c r="C98" s="287"/>
      <c r="D98" s="287"/>
      <c r="E98" s="287"/>
      <c r="F98" s="287"/>
      <c r="G98" s="287"/>
      <c r="H98" s="287"/>
      <c r="I98" s="287"/>
      <c r="J98" s="287"/>
      <c r="K98" s="287"/>
      <c r="L98" s="287"/>
      <c r="M98" s="191"/>
    </row>
    <row r="99" spans="1:13" s="162" customFormat="1" ht="18" hidden="1" customHeight="1">
      <c r="A99" s="190"/>
      <c r="B99" s="287"/>
      <c r="C99" s="287"/>
      <c r="D99" s="287"/>
      <c r="E99" s="287"/>
      <c r="F99" s="287"/>
      <c r="G99" s="287"/>
      <c r="H99" s="287"/>
      <c r="I99" s="287"/>
      <c r="J99" s="287"/>
      <c r="K99" s="287"/>
      <c r="L99" s="287"/>
      <c r="M99" s="191"/>
    </row>
    <row r="100" spans="1:13" s="162" customFormat="1" ht="18" hidden="1" customHeight="1">
      <c r="A100" s="287"/>
      <c r="B100" s="287"/>
      <c r="C100" s="287"/>
      <c r="D100" s="287"/>
      <c r="E100" s="287"/>
      <c r="F100" s="287"/>
      <c r="G100" s="287"/>
      <c r="H100" s="287"/>
      <c r="I100" s="287"/>
      <c r="J100" s="287"/>
      <c r="K100" s="287"/>
      <c r="L100" s="287"/>
      <c r="M100" s="191"/>
    </row>
    <row r="101" spans="1:13" s="162" customFormat="1" ht="18" hidden="1" customHeight="1">
      <c r="A101" s="287"/>
      <c r="B101" s="1075"/>
      <c r="C101" s="1075"/>
      <c r="D101" s="1075"/>
      <c r="E101" s="1075"/>
      <c r="F101" s="1075"/>
      <c r="G101" s="1075"/>
      <c r="H101" s="1075"/>
      <c r="I101" s="1075"/>
      <c r="J101" s="1075"/>
      <c r="K101" s="1075"/>
      <c r="L101" s="1075"/>
      <c r="M101" s="191"/>
    </row>
    <row r="102" spans="1:13" s="162" customFormat="1" ht="18" hidden="1" customHeight="1">
      <c r="A102" s="190"/>
      <c r="B102" s="287"/>
      <c r="C102" s="287"/>
      <c r="D102" s="287"/>
      <c r="E102" s="287"/>
      <c r="F102" s="287"/>
      <c r="G102" s="287"/>
      <c r="H102" s="287"/>
      <c r="I102" s="287"/>
      <c r="J102" s="287"/>
      <c r="K102" s="287"/>
      <c r="L102" s="287"/>
      <c r="M102" s="191"/>
    </row>
    <row r="103" spans="1:13" s="162" customFormat="1" ht="18" hidden="1" customHeight="1">
      <c r="A103" s="189"/>
      <c r="B103" s="1075"/>
      <c r="C103" s="1075"/>
      <c r="D103" s="1075"/>
      <c r="E103" s="1075"/>
      <c r="F103" s="1075"/>
      <c r="G103" s="1075"/>
      <c r="H103" s="1075"/>
      <c r="I103" s="1075"/>
      <c r="J103" s="1075"/>
      <c r="K103" s="1075"/>
      <c r="L103" s="1075"/>
      <c r="M103" s="191"/>
    </row>
    <row r="104" spans="1:13" s="162" customFormat="1" ht="18" hidden="1" customHeight="1">
      <c r="A104" s="189"/>
      <c r="B104" s="1075"/>
      <c r="C104" s="1075"/>
      <c r="D104" s="1075"/>
      <c r="E104" s="1075"/>
      <c r="F104" s="1075"/>
      <c r="G104" s="1075"/>
      <c r="H104" s="1075"/>
      <c r="I104" s="1075"/>
      <c r="J104" s="1075"/>
      <c r="K104" s="1075"/>
      <c r="L104" s="1075"/>
      <c r="M104" s="191"/>
    </row>
    <row r="105" spans="1:13" s="162" customFormat="1" ht="18" hidden="1" customHeight="1">
      <c r="A105" s="189"/>
      <c r="B105" s="1075"/>
      <c r="C105" s="1075"/>
      <c r="D105" s="1075"/>
      <c r="E105" s="1075"/>
      <c r="F105" s="1075"/>
      <c r="G105" s="1075"/>
      <c r="H105" s="1075"/>
      <c r="I105" s="1075"/>
      <c r="J105" s="1075"/>
      <c r="K105" s="1075"/>
      <c r="L105" s="1075"/>
      <c r="M105" s="191"/>
    </row>
    <row r="106" spans="1:13" s="162" customFormat="1" ht="18" hidden="1" customHeight="1">
      <c r="A106" s="190"/>
      <c r="B106" s="287"/>
      <c r="C106" s="287"/>
      <c r="D106" s="287"/>
      <c r="E106" s="287"/>
      <c r="F106" s="287"/>
      <c r="G106" s="287"/>
      <c r="H106" s="287"/>
      <c r="I106" s="287"/>
      <c r="J106" s="287"/>
      <c r="K106" s="287"/>
      <c r="L106" s="287"/>
      <c r="M106" s="191"/>
    </row>
    <row r="107" spans="1:13" s="162" customFormat="1" ht="18" hidden="1" customHeight="1">
      <c r="A107" s="287"/>
      <c r="B107" s="287"/>
      <c r="C107" s="287"/>
      <c r="D107" s="287"/>
      <c r="E107" s="287"/>
      <c r="F107" s="287"/>
      <c r="G107" s="287"/>
      <c r="H107" s="287"/>
      <c r="I107" s="287"/>
      <c r="J107" s="287"/>
      <c r="K107" s="287"/>
      <c r="L107" s="287"/>
      <c r="M107" s="191"/>
    </row>
    <row r="108" spans="1:13" s="162" customFormat="1" ht="18" hidden="1" customHeight="1">
      <c r="A108" s="190"/>
      <c r="B108" s="287"/>
      <c r="C108" s="287"/>
      <c r="D108" s="287"/>
      <c r="E108" s="287"/>
      <c r="F108" s="287"/>
      <c r="G108" s="287"/>
      <c r="H108" s="287"/>
      <c r="I108" s="287"/>
      <c r="J108" s="287"/>
      <c r="K108" s="287"/>
      <c r="L108" s="287"/>
      <c r="M108" s="191"/>
    </row>
    <row r="109" spans="1:13" s="162" customFormat="1" ht="18" hidden="1" customHeight="1">
      <c r="A109" s="287"/>
      <c r="B109" s="1075"/>
      <c r="C109" s="1075"/>
      <c r="D109" s="1075"/>
      <c r="E109" s="1075"/>
      <c r="F109" s="1075"/>
      <c r="G109" s="1075"/>
      <c r="H109" s="1075"/>
      <c r="I109" s="1075"/>
      <c r="J109" s="1075"/>
      <c r="K109" s="1075"/>
      <c r="L109" s="1075"/>
      <c r="M109" s="191"/>
    </row>
    <row r="110" spans="1:13" s="162" customFormat="1" ht="18" hidden="1" customHeight="1">
      <c r="A110" s="190"/>
      <c r="B110" s="287"/>
      <c r="C110" s="287"/>
      <c r="D110" s="287"/>
      <c r="E110" s="287"/>
      <c r="F110" s="287"/>
      <c r="G110" s="287"/>
      <c r="H110" s="287"/>
      <c r="I110" s="287"/>
      <c r="J110" s="287"/>
      <c r="K110" s="287"/>
      <c r="L110" s="287"/>
      <c r="M110" s="191"/>
    </row>
    <row r="111" spans="1:13" s="162" customFormat="1" ht="18" hidden="1" customHeight="1">
      <c r="A111" s="287"/>
      <c r="B111" s="1075"/>
      <c r="C111" s="1075"/>
      <c r="D111" s="1075"/>
      <c r="E111" s="1075"/>
      <c r="F111" s="1075"/>
      <c r="G111" s="1075"/>
      <c r="H111" s="1075"/>
      <c r="I111" s="1075"/>
      <c r="J111" s="1075"/>
      <c r="K111" s="1075"/>
      <c r="L111" s="1075"/>
      <c r="M111" s="191"/>
    </row>
    <row r="112" spans="1:13" s="162" customFormat="1" ht="18" hidden="1" customHeight="1">
      <c r="A112" s="190"/>
      <c r="B112" s="287"/>
      <c r="C112" s="287"/>
      <c r="D112" s="287"/>
      <c r="E112" s="287"/>
      <c r="F112" s="287"/>
      <c r="G112" s="287"/>
      <c r="H112" s="287"/>
      <c r="I112" s="287"/>
      <c r="J112" s="287"/>
      <c r="K112" s="287"/>
      <c r="L112" s="287"/>
      <c r="M112" s="191"/>
    </row>
    <row r="113" spans="1:13" s="162" customFormat="1" ht="18" hidden="1" customHeight="1">
      <c r="A113" s="287"/>
      <c r="B113" s="1075"/>
      <c r="C113" s="1075"/>
      <c r="D113" s="1075"/>
      <c r="E113" s="1075"/>
      <c r="F113" s="1075"/>
      <c r="G113" s="1075"/>
      <c r="H113" s="1075"/>
      <c r="I113" s="1075"/>
      <c r="J113" s="1075"/>
      <c r="K113" s="1075"/>
      <c r="L113" s="1075"/>
      <c r="M113" s="191"/>
    </row>
    <row r="114" spans="1:13" s="162" customFormat="1" ht="18" hidden="1" customHeight="1">
      <c r="A114" s="287"/>
      <c r="B114" s="1075"/>
      <c r="C114" s="1075"/>
      <c r="D114" s="1075"/>
      <c r="E114" s="1075"/>
      <c r="F114" s="1075"/>
      <c r="G114" s="1075"/>
      <c r="H114" s="1075"/>
      <c r="I114" s="1075"/>
      <c r="J114" s="1075"/>
      <c r="K114" s="1075"/>
      <c r="L114" s="1075"/>
      <c r="M114" s="191"/>
    </row>
    <row r="115" spans="1:13" s="162" customFormat="1" ht="18" hidden="1" customHeight="1">
      <c r="A115" s="190"/>
      <c r="B115" s="287"/>
      <c r="C115" s="287"/>
      <c r="D115" s="287"/>
      <c r="E115" s="287"/>
      <c r="F115" s="287"/>
      <c r="G115" s="287"/>
      <c r="H115" s="287"/>
      <c r="I115" s="287"/>
      <c r="J115" s="287"/>
      <c r="K115" s="287"/>
      <c r="L115" s="287"/>
      <c r="M115" s="191"/>
    </row>
    <row r="116" spans="1:13" s="162" customFormat="1" ht="18" hidden="1" customHeight="1">
      <c r="A116" s="189"/>
      <c r="B116" s="1076"/>
      <c r="C116" s="1076"/>
      <c r="D116" s="1076"/>
      <c r="E116" s="1076"/>
      <c r="F116" s="1076"/>
      <c r="G116" s="1076"/>
      <c r="H116" s="1076"/>
      <c r="I116" s="1076"/>
      <c r="J116" s="1076"/>
      <c r="K116" s="1076"/>
      <c r="L116" s="1076"/>
      <c r="M116" s="191"/>
    </row>
    <row r="117" spans="1:13" s="162" customFormat="1" ht="18" hidden="1" customHeight="1">
      <c r="A117" s="189"/>
      <c r="B117" s="1075"/>
      <c r="C117" s="1075"/>
      <c r="D117" s="1075"/>
      <c r="E117" s="1075"/>
      <c r="F117" s="1075"/>
      <c r="G117" s="1075"/>
      <c r="H117" s="1075"/>
      <c r="I117" s="1075"/>
      <c r="J117" s="1075"/>
      <c r="K117" s="1075"/>
      <c r="L117" s="1075"/>
      <c r="M117" s="191"/>
    </row>
    <row r="118" spans="1:13" s="162" customFormat="1" ht="18" hidden="1" customHeight="1">
      <c r="A118" s="190"/>
      <c r="B118" s="287"/>
      <c r="C118" s="287"/>
      <c r="D118" s="287"/>
      <c r="E118" s="287"/>
      <c r="F118" s="287"/>
      <c r="G118" s="287"/>
      <c r="H118" s="287"/>
      <c r="I118" s="287"/>
      <c r="J118" s="287"/>
      <c r="K118" s="287"/>
      <c r="L118" s="287"/>
      <c r="M118" s="191"/>
    </row>
    <row r="119" spans="1:13" s="162" customFormat="1" ht="18" hidden="1" customHeight="1">
      <c r="A119" s="287"/>
      <c r="B119" s="1075"/>
      <c r="C119" s="1075"/>
      <c r="D119" s="1075"/>
      <c r="E119" s="1075"/>
      <c r="F119" s="1075"/>
      <c r="G119" s="1075"/>
      <c r="H119" s="1075"/>
      <c r="I119" s="1075"/>
      <c r="J119" s="1075"/>
      <c r="K119" s="1075"/>
      <c r="L119" s="1075"/>
      <c r="M119" s="191"/>
    </row>
    <row r="120" spans="1:13" s="162" customFormat="1" ht="18" hidden="1" customHeight="1">
      <c r="A120" s="190"/>
      <c r="B120" s="287"/>
      <c r="C120" s="287"/>
      <c r="D120" s="287"/>
      <c r="E120" s="287"/>
      <c r="F120" s="287"/>
      <c r="G120" s="287"/>
      <c r="H120" s="287"/>
      <c r="I120" s="287"/>
      <c r="J120" s="287"/>
      <c r="K120" s="287"/>
      <c r="L120" s="287"/>
      <c r="M120" s="191"/>
    </row>
    <row r="121" spans="1:13" s="162" customFormat="1" ht="18" hidden="1" customHeight="1">
      <c r="A121" s="287"/>
      <c r="B121" s="1075"/>
      <c r="C121" s="1075"/>
      <c r="D121" s="1075"/>
      <c r="E121" s="1075"/>
      <c r="F121" s="1075"/>
      <c r="G121" s="1075"/>
      <c r="H121" s="1075"/>
      <c r="I121" s="1075"/>
      <c r="J121" s="1075"/>
      <c r="K121" s="1075"/>
      <c r="L121" s="1075"/>
      <c r="M121" s="191"/>
    </row>
    <row r="122" spans="1:13" s="162" customFormat="1" ht="18" hidden="1" customHeight="1">
      <c r="A122" s="190"/>
      <c r="B122" s="287"/>
      <c r="C122" s="287"/>
      <c r="D122" s="287"/>
      <c r="E122" s="287"/>
      <c r="F122" s="287"/>
      <c r="G122" s="287"/>
      <c r="H122" s="287"/>
      <c r="I122" s="287"/>
      <c r="J122" s="287"/>
      <c r="K122" s="287"/>
      <c r="L122" s="287"/>
      <c r="M122" s="191"/>
    </row>
    <row r="123" spans="1:13" s="162" customFormat="1" ht="18" hidden="1" customHeight="1">
      <c r="A123" s="287"/>
      <c r="B123" s="287"/>
      <c r="C123" s="287"/>
      <c r="D123" s="287"/>
      <c r="E123" s="287"/>
      <c r="F123" s="287"/>
      <c r="G123" s="287"/>
      <c r="H123" s="287"/>
      <c r="I123" s="287"/>
      <c r="J123" s="287"/>
      <c r="K123" s="287"/>
      <c r="L123" s="287"/>
      <c r="M123" s="191"/>
    </row>
    <row r="124" spans="1:13" s="162" customFormat="1" ht="18" hidden="1" customHeight="1">
      <c r="A124" s="190"/>
      <c r="B124" s="287"/>
      <c r="C124" s="287"/>
      <c r="D124" s="287"/>
      <c r="E124" s="287"/>
      <c r="F124" s="287"/>
      <c r="G124" s="287"/>
      <c r="H124" s="287"/>
      <c r="I124" s="287"/>
      <c r="J124" s="287"/>
      <c r="K124" s="287"/>
      <c r="L124" s="287"/>
      <c r="M124" s="191"/>
    </row>
    <row r="125" spans="1:13" s="162" customFormat="1" ht="18" hidden="1" customHeight="1">
      <c r="A125" s="287"/>
      <c r="B125" s="1075"/>
      <c r="C125" s="1075"/>
      <c r="D125" s="1075"/>
      <c r="E125" s="1075"/>
      <c r="F125" s="1075"/>
      <c r="G125" s="1075"/>
      <c r="H125" s="1075"/>
      <c r="I125" s="1075"/>
      <c r="J125" s="1075"/>
      <c r="K125" s="1075"/>
      <c r="L125" s="1075"/>
      <c r="M125" s="191"/>
    </row>
    <row r="126" spans="1:13" s="162" customFormat="1" ht="18" hidden="1" customHeight="1">
      <c r="A126" s="190"/>
      <c r="B126" s="287"/>
      <c r="C126" s="287"/>
      <c r="D126" s="287"/>
      <c r="E126" s="287"/>
      <c r="F126" s="287"/>
      <c r="G126" s="287"/>
      <c r="H126" s="287"/>
      <c r="I126" s="287"/>
      <c r="J126" s="287"/>
      <c r="K126" s="287"/>
      <c r="L126" s="287"/>
      <c r="M126" s="191"/>
    </row>
    <row r="127" spans="1:13" s="162" customFormat="1" ht="18" hidden="1" customHeight="1">
      <c r="A127" s="189"/>
      <c r="B127" s="1076"/>
      <c r="C127" s="1076"/>
      <c r="D127" s="1076"/>
      <c r="E127" s="1076"/>
      <c r="F127" s="1076"/>
      <c r="G127" s="1076"/>
      <c r="H127" s="1076"/>
      <c r="I127" s="1076"/>
      <c r="J127" s="1076"/>
      <c r="K127" s="1076"/>
      <c r="L127" s="1076"/>
      <c r="M127" s="191"/>
    </row>
    <row r="128" spans="1:13" s="162" customFormat="1" ht="18" hidden="1" customHeight="1">
      <c r="A128" s="189"/>
      <c r="B128" s="1075"/>
      <c r="C128" s="1075"/>
      <c r="D128" s="1075"/>
      <c r="E128" s="1075"/>
      <c r="F128" s="1075"/>
      <c r="G128" s="1075"/>
      <c r="H128" s="1075"/>
      <c r="I128" s="1075"/>
      <c r="J128" s="1075"/>
      <c r="K128" s="1075"/>
      <c r="L128" s="1075"/>
      <c r="M128" s="191"/>
    </row>
    <row r="129" spans="1:13" s="162" customFormat="1" ht="14" hidden="1">
      <c r="A129" s="189"/>
      <c r="B129" s="1075"/>
      <c r="C129" s="1075"/>
      <c r="D129" s="1075"/>
      <c r="E129" s="1075"/>
      <c r="F129" s="1075"/>
      <c r="G129" s="1075"/>
      <c r="H129" s="1075"/>
      <c r="I129" s="1075"/>
      <c r="J129" s="1075"/>
      <c r="K129" s="1075"/>
      <c r="L129" s="1075"/>
      <c r="M129" s="191"/>
    </row>
    <row r="130" spans="1:13" s="162" customFormat="1" ht="14" hidden="1">
      <c r="M130" s="191"/>
    </row>
    <row r="131" spans="1:13" s="162" customFormat="1" ht="14" hidden="1">
      <c r="M131" s="191"/>
    </row>
    <row r="132" spans="1:13" s="162" customFormat="1" ht="14" hidden="1">
      <c r="M132" s="191"/>
    </row>
    <row r="133" spans="1:13" s="162" customFormat="1" ht="14" hidden="1">
      <c r="M133" s="191"/>
    </row>
    <row r="134" spans="1:13" s="162" customFormat="1" ht="14" hidden="1">
      <c r="M134" s="191"/>
    </row>
    <row r="135" spans="1:13" s="162" customFormat="1" ht="14" hidden="1">
      <c r="M135" s="191"/>
    </row>
    <row r="136" spans="1:13" s="162" customFormat="1" ht="14" hidden="1">
      <c r="M136" s="191"/>
    </row>
    <row r="137" spans="1:13" ht="14" hidden="1">
      <c r="M137" s="192"/>
    </row>
    <row r="138" spans="1:13" ht="14" hidden="1">
      <c r="M138" s="192"/>
    </row>
    <row r="139" spans="1:13" ht="14" hidden="1">
      <c r="M139" s="192"/>
    </row>
    <row r="140" spans="1:13" ht="14" hidden="1">
      <c r="M140" s="192"/>
    </row>
    <row r="141" spans="1:13" ht="14" hidden="1">
      <c r="M141" s="192"/>
    </row>
    <row r="142" spans="1:13" ht="14" hidden="1">
      <c r="M142" s="192"/>
    </row>
    <row r="143" spans="1:13" ht="14" hidden="1">
      <c r="M143" s="192"/>
    </row>
    <row r="144" spans="1:13" ht="14" hidden="1">
      <c r="M144" s="192"/>
    </row>
    <row r="145" spans="13:13" ht="14" hidden="1">
      <c r="M145" s="192"/>
    </row>
    <row r="146" spans="13:13" ht="14" hidden="1">
      <c r="M146" s="192"/>
    </row>
    <row r="147" spans="13:13" ht="14" hidden="1">
      <c r="M147" s="192"/>
    </row>
    <row r="148" spans="13:13" ht="14" hidden="1">
      <c r="M148" s="192"/>
    </row>
    <row r="149" spans="13:13" ht="14" hidden="1">
      <c r="M149" s="192"/>
    </row>
    <row r="150" spans="13:13" ht="14" hidden="1">
      <c r="M150" s="192"/>
    </row>
    <row r="151" spans="13:13" ht="14" hidden="1">
      <c r="M151" s="192"/>
    </row>
    <row r="152" spans="13:13" ht="14" hidden="1">
      <c r="M152" s="192"/>
    </row>
    <row r="153" spans="13:13" ht="14" hidden="1">
      <c r="M153" s="192"/>
    </row>
    <row r="154" spans="13:13" ht="14" hidden="1">
      <c r="M154" s="192"/>
    </row>
    <row r="155" spans="13:13" ht="14" hidden="1">
      <c r="M155" s="192"/>
    </row>
    <row r="156" spans="13:13" ht="14" hidden="1">
      <c r="M156" s="192"/>
    </row>
    <row r="157" spans="13:13" ht="14" hidden="1">
      <c r="M157" s="192"/>
    </row>
    <row r="158" spans="13:13" ht="16.5" customHeight="1"/>
    <row r="159" spans="13:13" ht="16.5" customHeight="1"/>
    <row r="160" spans="13:13" ht="16.5" customHeight="1"/>
    <row r="161" ht="16.5" customHeight="1"/>
    <row r="162" ht="16.5" customHeight="1"/>
    <row r="164" ht="16.5" customHeight="1"/>
    <row r="165" ht="16.5" customHeight="1"/>
    <row r="166" ht="16.5" customHeight="1"/>
    <row r="167" ht="16.5" customHeight="1"/>
    <row r="168" ht="16.5" customHeight="1"/>
    <row r="169" ht="16.5" customHeight="1"/>
    <row r="170" ht="16.5" customHeight="1"/>
    <row r="172" ht="16.5" customHeight="1"/>
    <row r="173" ht="16.5" customHeight="1"/>
    <row r="174" ht="16.5" customHeight="1"/>
    <row r="175" ht="16.5" customHeight="1"/>
    <row r="176" ht="16.5" customHeight="1"/>
    <row r="179" ht="16.5" customHeight="1"/>
  </sheetData>
  <sheetProtection algorithmName="SHA-512" hashValue="t6nsvG+FJXvcTnOex0j7IT8TyGkqG556wG3XxKIOTDHl+3qqAYRnQi4bLor8cbZ95hNA13Ta2Vsbdw+rCn3x8g==" saltValue="JG38jLO+CSTCpEi9Yu8g/g==" spinCount="100000" sheet="1" objects="1" scenarios="1"/>
  <mergeCells count="68">
    <mergeCell ref="B74:K74"/>
    <mergeCell ref="B62:K62"/>
    <mergeCell ref="B64:K64"/>
    <mergeCell ref="B66:K66"/>
    <mergeCell ref="B70:K70"/>
    <mergeCell ref="B73:K73"/>
    <mergeCell ref="B54:K54"/>
    <mergeCell ref="B56:K56"/>
    <mergeCell ref="B58:K58"/>
    <mergeCell ref="B59:K59"/>
    <mergeCell ref="B61:K61"/>
    <mergeCell ref="B42:K42"/>
    <mergeCell ref="B46:K46"/>
    <mergeCell ref="B48:K48"/>
    <mergeCell ref="B49:K49"/>
    <mergeCell ref="B50:K50"/>
    <mergeCell ref="B31:K31"/>
    <mergeCell ref="B34:K34"/>
    <mergeCell ref="B36:K36"/>
    <mergeCell ref="B38:K38"/>
    <mergeCell ref="B40:K40"/>
    <mergeCell ref="B24:K24"/>
    <mergeCell ref="B25:K25"/>
    <mergeCell ref="B27:K27"/>
    <mergeCell ref="B28:K28"/>
    <mergeCell ref="B30:K30"/>
    <mergeCell ref="B86:L86"/>
    <mergeCell ref="A1:G1"/>
    <mergeCell ref="A2:G2"/>
    <mergeCell ref="A3:E3"/>
    <mergeCell ref="B83:L83"/>
    <mergeCell ref="B85:L85"/>
    <mergeCell ref="B5:K5"/>
    <mergeCell ref="B6:K6"/>
    <mergeCell ref="B9:K9"/>
    <mergeCell ref="B10:K10"/>
    <mergeCell ref="B12:K12"/>
    <mergeCell ref="B15:K15"/>
    <mergeCell ref="B17:K17"/>
    <mergeCell ref="B18:K18"/>
    <mergeCell ref="B20:K20"/>
    <mergeCell ref="B23:K23"/>
    <mergeCell ref="C78:K78"/>
    <mergeCell ref="B82:L82"/>
    <mergeCell ref="D79:F79"/>
    <mergeCell ref="G79:I79"/>
    <mergeCell ref="B80:L80"/>
    <mergeCell ref="B129:L129"/>
    <mergeCell ref="B114:L114"/>
    <mergeCell ref="B116:L116"/>
    <mergeCell ref="B117:L117"/>
    <mergeCell ref="B119:L119"/>
    <mergeCell ref="B121:L121"/>
    <mergeCell ref="B125:L125"/>
    <mergeCell ref="B111:L111"/>
    <mergeCell ref="B127:L127"/>
    <mergeCell ref="B128:L128"/>
    <mergeCell ref="B113:L113"/>
    <mergeCell ref="B89:L89"/>
    <mergeCell ref="B91:L91"/>
    <mergeCell ref="B104:L104"/>
    <mergeCell ref="B105:L105"/>
    <mergeCell ref="B109:L109"/>
    <mergeCell ref="B101:L101"/>
    <mergeCell ref="B103:L103"/>
    <mergeCell ref="B97:L97"/>
    <mergeCell ref="B93:L93"/>
    <mergeCell ref="B95:L95"/>
  </mergeCells>
  <pageMargins left="0.25" right="0.25" top="0.25" bottom="0.25" header="0" footer="0"/>
  <pageSetup scale="52" orientation="portrait" r:id="rId1"/>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EF958-B761-4276-B168-6A9C2DF4A2A0}">
  <sheetPr codeName="Sheet32">
    <tabColor rgb="FF00B050"/>
    <pageSetUpPr fitToPage="1"/>
  </sheetPr>
  <dimension ref="A1:IV106"/>
  <sheetViews>
    <sheetView showGridLines="0" topLeftCell="A25" zoomScaleNormal="100" workbookViewId="0">
      <selection activeCell="A10" sqref="A10:K10"/>
    </sheetView>
  </sheetViews>
  <sheetFormatPr defaultColWidth="0" defaultRowHeight="16.5" customHeight="1" zeroHeight="1"/>
  <cols>
    <col min="1" max="1" width="18.54296875" style="132" customWidth="1"/>
    <col min="2" max="2" width="12.7265625" style="132" customWidth="1"/>
    <col min="3" max="3" width="13.54296875" style="132" customWidth="1"/>
    <col min="4" max="6" width="11.54296875" style="132" customWidth="1"/>
    <col min="7" max="7" width="1.54296875" style="132" customWidth="1"/>
    <col min="8" max="8" width="15.54296875" style="132" customWidth="1"/>
    <col min="9" max="10" width="11.54296875" style="132" customWidth="1"/>
    <col min="11" max="11" width="12.81640625" style="132" customWidth="1"/>
    <col min="12" max="12" width="11.54296875" style="132" customWidth="1"/>
    <col min="13" max="16384" width="9.1796875" style="132" hidden="1"/>
  </cols>
  <sheetData>
    <row r="1" spans="1:256" s="38" customFormat="1" ht="60" customHeight="1">
      <c r="A1" s="286" t="str">
        <f>Development!$A$3&amp;" Residential Efficiency Program"</f>
        <v>2025 Residential Efficiency Program</v>
      </c>
      <c r="B1" s="286"/>
      <c r="C1" s="286"/>
      <c r="D1" s="286"/>
      <c r="E1" s="286"/>
      <c r="F1" s="286"/>
      <c r="G1" s="286"/>
      <c r="H1" s="12"/>
      <c r="I1" s="9"/>
      <c r="J1" s="9"/>
      <c r="K1" s="9"/>
      <c r="L1" s="9"/>
      <c r="V1" s="1448"/>
      <c r="W1" s="1448"/>
      <c r="X1" s="1448"/>
      <c r="Y1" s="1448"/>
      <c r="Z1" s="1448"/>
      <c r="AA1" s="1448"/>
      <c r="AB1" s="1448"/>
      <c r="AC1" s="1448"/>
      <c r="AD1" s="1448"/>
      <c r="AE1" s="1448"/>
      <c r="AF1" s="1448"/>
      <c r="AG1" s="1448"/>
      <c r="AH1" s="1448"/>
      <c r="AI1" s="1448"/>
      <c r="AJ1" s="1448"/>
      <c r="AK1" s="1448"/>
      <c r="AL1" s="1448"/>
      <c r="AM1" s="1448"/>
      <c r="AN1" s="1448"/>
      <c r="AO1" s="1448"/>
      <c r="AP1" s="1448"/>
      <c r="AQ1" s="1448"/>
      <c r="AR1" s="1448"/>
      <c r="AS1" s="1448"/>
      <c r="AT1" s="1448"/>
      <c r="AU1" s="1448"/>
      <c r="AV1" s="1448"/>
      <c r="AW1" s="1448"/>
      <c r="AX1" s="1448"/>
      <c r="AY1" s="1448"/>
      <c r="AZ1" s="1448"/>
      <c r="BA1" s="1448"/>
      <c r="BB1" s="1448"/>
      <c r="BC1" s="1448"/>
      <c r="BD1" s="1448"/>
      <c r="BE1" s="1448"/>
      <c r="BF1" s="1448"/>
      <c r="BG1" s="1448"/>
      <c r="BH1" s="1448"/>
      <c r="BI1" s="1448"/>
      <c r="BJ1" s="1448"/>
      <c r="BK1" s="1448"/>
      <c r="BL1" s="1448"/>
      <c r="BM1" s="1448"/>
      <c r="BN1" s="1448"/>
      <c r="BO1" s="1448"/>
      <c r="BP1" s="1448"/>
      <c r="BQ1" s="1448"/>
      <c r="BR1" s="1448"/>
      <c r="BS1" s="1448"/>
      <c r="BT1" s="1448"/>
      <c r="BU1" s="1448"/>
      <c r="BV1" s="1448"/>
      <c r="BW1" s="1448"/>
      <c r="BX1" s="1448"/>
      <c r="BY1" s="1448"/>
      <c r="BZ1" s="1448"/>
      <c r="CA1" s="1448"/>
      <c r="CB1" s="1448"/>
      <c r="CC1" s="1448"/>
      <c r="CD1" s="1448"/>
      <c r="CE1" s="1448"/>
      <c r="CF1" s="1448"/>
      <c r="CG1" s="1448"/>
      <c r="CH1" s="1448"/>
      <c r="CI1" s="1448"/>
      <c r="CJ1" s="1448"/>
      <c r="CK1" s="1448"/>
      <c r="CL1" s="1448"/>
      <c r="CM1" s="1448"/>
      <c r="CN1" s="1448"/>
      <c r="CO1" s="1448"/>
      <c r="CP1" s="1448"/>
      <c r="CQ1" s="1448"/>
      <c r="CR1" s="1448"/>
      <c r="CS1" s="1448"/>
      <c r="CT1" s="1448"/>
      <c r="CU1" s="1448"/>
      <c r="CV1" s="1448"/>
      <c r="CW1" s="1448"/>
      <c r="CX1" s="1448"/>
      <c r="CY1" s="1448"/>
      <c r="CZ1" s="1448"/>
      <c r="DA1" s="1448"/>
      <c r="DB1" s="1448"/>
      <c r="DC1" s="1448"/>
      <c r="DD1" s="1448"/>
      <c r="DE1" s="1448"/>
      <c r="DF1" s="1448"/>
      <c r="DG1" s="1448"/>
      <c r="DH1" s="1448"/>
      <c r="DI1" s="1448"/>
      <c r="DJ1" s="1448"/>
      <c r="DK1" s="1448"/>
      <c r="DL1" s="1448"/>
      <c r="DM1" s="1448"/>
      <c r="DN1" s="1448"/>
      <c r="DO1" s="1448"/>
      <c r="DP1" s="1448"/>
      <c r="DQ1" s="1448"/>
      <c r="DR1" s="1448"/>
      <c r="DS1" s="1448"/>
      <c r="DT1" s="1448"/>
      <c r="DU1" s="1448"/>
      <c r="DV1" s="1448"/>
      <c r="DW1" s="1448"/>
      <c r="DX1" s="1448"/>
      <c r="DY1" s="1448"/>
      <c r="DZ1" s="1448"/>
      <c r="EA1" s="1448"/>
      <c r="EB1" s="1448"/>
      <c r="EC1" s="1448"/>
      <c r="ED1" s="1448"/>
      <c r="EE1" s="1448"/>
      <c r="EF1" s="1448"/>
      <c r="EG1" s="1448"/>
      <c r="EH1" s="1448"/>
      <c r="EI1" s="1448"/>
      <c r="EJ1" s="1448"/>
      <c r="EK1" s="1448"/>
      <c r="EL1" s="1448"/>
      <c r="EM1" s="1448"/>
      <c r="EN1" s="1448"/>
      <c r="EO1" s="1448"/>
      <c r="EP1" s="1448"/>
      <c r="EQ1" s="1448"/>
      <c r="ER1" s="1448"/>
      <c r="ES1" s="1448"/>
      <c r="ET1" s="1448"/>
      <c r="EU1" s="1448"/>
      <c r="EV1" s="1448"/>
      <c r="EW1" s="1448"/>
      <c r="EX1" s="1448"/>
      <c r="EY1" s="1448"/>
      <c r="EZ1" s="1448"/>
      <c r="FA1" s="1448"/>
      <c r="FB1" s="1448"/>
      <c r="FC1" s="1448"/>
      <c r="FD1" s="1448"/>
      <c r="FE1" s="1448"/>
      <c r="FF1" s="1448"/>
      <c r="FG1" s="1448"/>
      <c r="FH1" s="1448"/>
      <c r="FI1" s="1448"/>
      <c r="FJ1" s="1448"/>
      <c r="FK1" s="1448"/>
      <c r="FL1" s="1448"/>
      <c r="FM1" s="1448"/>
      <c r="FN1" s="1448"/>
      <c r="FO1" s="1448"/>
      <c r="FP1" s="1448"/>
      <c r="FQ1" s="1448"/>
      <c r="FR1" s="1448"/>
      <c r="FS1" s="1448"/>
      <c r="FT1" s="1448"/>
      <c r="FU1" s="1448"/>
      <c r="FV1" s="1448"/>
      <c r="FW1" s="1448"/>
      <c r="FX1" s="1448"/>
      <c r="FY1" s="1448"/>
      <c r="FZ1" s="1448"/>
      <c r="GA1" s="1448"/>
      <c r="GB1" s="1448"/>
      <c r="GC1" s="1448"/>
      <c r="GD1" s="1448"/>
      <c r="GE1" s="1448"/>
      <c r="GF1" s="1448"/>
      <c r="GG1" s="1448"/>
      <c r="GH1" s="1448"/>
      <c r="GI1" s="1448"/>
      <c r="GJ1" s="1448"/>
      <c r="GK1" s="1448"/>
      <c r="GL1" s="1448"/>
      <c r="GM1" s="1448"/>
      <c r="GN1" s="1448"/>
      <c r="GO1" s="1448"/>
      <c r="GP1" s="1448"/>
      <c r="GQ1" s="1448"/>
      <c r="GR1" s="1448"/>
      <c r="GS1" s="1448"/>
      <c r="GT1" s="1448"/>
      <c r="GU1" s="1448"/>
      <c r="GV1" s="1448"/>
      <c r="GW1" s="1448"/>
      <c r="GX1" s="1448"/>
      <c r="GY1" s="1448"/>
      <c r="GZ1" s="1448"/>
      <c r="HA1" s="1448"/>
      <c r="HB1" s="1448"/>
      <c r="HC1" s="1448"/>
      <c r="HD1" s="1448"/>
      <c r="HE1" s="1448"/>
      <c r="HF1" s="1448"/>
      <c r="HG1" s="1448"/>
      <c r="HH1" s="1448"/>
      <c r="HI1" s="1448"/>
      <c r="HJ1" s="1448"/>
      <c r="HK1" s="1448"/>
      <c r="HL1" s="1448"/>
      <c r="HM1" s="1448"/>
      <c r="HN1" s="1448"/>
      <c r="HO1" s="1448"/>
      <c r="HP1" s="1448"/>
      <c r="HQ1" s="1448"/>
      <c r="HR1" s="1448"/>
      <c r="HS1" s="1448"/>
      <c r="HT1" s="1448"/>
      <c r="HU1" s="1448"/>
      <c r="HV1" s="1448"/>
      <c r="HW1" s="1448"/>
      <c r="HX1" s="1448"/>
      <c r="HY1" s="1448"/>
      <c r="HZ1" s="1448"/>
      <c r="IA1" s="1448"/>
      <c r="IB1" s="1448"/>
      <c r="IC1" s="1448"/>
      <c r="ID1" s="1448"/>
      <c r="IE1" s="1448"/>
      <c r="IF1" s="1448"/>
      <c r="IG1" s="1448"/>
      <c r="IH1" s="1448"/>
      <c r="II1" s="1448"/>
      <c r="IJ1" s="1448"/>
      <c r="IK1" s="1448"/>
      <c r="IL1" s="1448"/>
      <c r="IM1" s="1448"/>
      <c r="IN1" s="1448"/>
      <c r="IO1" s="1448"/>
      <c r="IP1" s="1448"/>
      <c r="IQ1" s="1448"/>
      <c r="IR1" s="1448"/>
      <c r="IS1" s="1448"/>
      <c r="IT1" s="1448"/>
      <c r="IU1" s="1448"/>
      <c r="IV1" s="1448"/>
    </row>
    <row r="2" spans="1:256" s="38" customFormat="1" ht="60" customHeight="1">
      <c r="A2" s="286"/>
      <c r="B2" s="286"/>
      <c r="C2" s="286"/>
      <c r="D2" s="286"/>
      <c r="E2" s="286"/>
      <c r="F2" s="286"/>
      <c r="G2" s="286"/>
      <c r="H2" s="12"/>
      <c r="I2" s="9"/>
      <c r="J2" s="9"/>
      <c r="K2" s="9"/>
      <c r="L2" s="9"/>
      <c r="V2" s="420"/>
      <c r="W2" s="420"/>
      <c r="X2" s="420"/>
      <c r="Y2" s="420"/>
      <c r="Z2" s="420"/>
      <c r="AA2" s="420"/>
      <c r="AB2" s="420"/>
      <c r="AC2" s="420"/>
      <c r="AD2" s="420"/>
      <c r="AE2" s="420"/>
      <c r="AF2" s="420"/>
      <c r="AG2" s="420"/>
      <c r="AH2" s="420"/>
      <c r="AI2" s="420"/>
      <c r="AJ2" s="420"/>
      <c r="AK2" s="420"/>
      <c r="AL2" s="420"/>
      <c r="AM2" s="420"/>
      <c r="AN2" s="420"/>
      <c r="AO2" s="420"/>
      <c r="AP2" s="420"/>
      <c r="AQ2" s="420"/>
      <c r="AR2" s="420"/>
      <c r="AS2" s="420"/>
      <c r="AT2" s="420"/>
      <c r="AU2" s="420"/>
      <c r="AV2" s="420"/>
      <c r="AW2" s="420"/>
      <c r="AX2" s="420"/>
      <c r="AY2" s="420"/>
      <c r="AZ2" s="420"/>
      <c r="BA2" s="420"/>
      <c r="BB2" s="420"/>
      <c r="BC2" s="420"/>
      <c r="BD2" s="420"/>
      <c r="BE2" s="420"/>
      <c r="BF2" s="420"/>
      <c r="BG2" s="420"/>
      <c r="BH2" s="420"/>
      <c r="BI2" s="420"/>
      <c r="BJ2" s="420"/>
      <c r="BK2" s="420"/>
      <c r="BL2" s="420"/>
      <c r="BM2" s="420"/>
      <c r="BN2" s="420"/>
      <c r="BO2" s="420"/>
      <c r="BP2" s="420"/>
      <c r="BQ2" s="420"/>
      <c r="BR2" s="420"/>
      <c r="BS2" s="420"/>
      <c r="BT2" s="420"/>
      <c r="BU2" s="420"/>
      <c r="BV2" s="420"/>
      <c r="BW2" s="420"/>
      <c r="BX2" s="420"/>
      <c r="BY2" s="420"/>
      <c r="BZ2" s="420"/>
      <c r="CA2" s="420"/>
      <c r="CB2" s="420"/>
      <c r="CC2" s="420"/>
      <c r="CD2" s="420"/>
      <c r="CE2" s="420"/>
      <c r="CF2" s="420"/>
      <c r="CG2" s="420"/>
      <c r="CH2" s="420"/>
      <c r="CI2" s="420"/>
      <c r="CJ2" s="420"/>
      <c r="CK2" s="420"/>
      <c r="CL2" s="420"/>
      <c r="CM2" s="420"/>
      <c r="CN2" s="420"/>
      <c r="CO2" s="420"/>
      <c r="CP2" s="420"/>
      <c r="CQ2" s="420"/>
      <c r="CR2" s="420"/>
      <c r="CS2" s="420"/>
      <c r="CT2" s="420"/>
      <c r="CU2" s="420"/>
      <c r="CV2" s="420"/>
      <c r="CW2" s="420"/>
      <c r="CX2" s="420"/>
      <c r="CY2" s="420"/>
      <c r="CZ2" s="420"/>
      <c r="DA2" s="420"/>
      <c r="DB2" s="420"/>
      <c r="DC2" s="420"/>
      <c r="DD2" s="420"/>
      <c r="DE2" s="420"/>
      <c r="DF2" s="420"/>
      <c r="DG2" s="420"/>
      <c r="DH2" s="420"/>
      <c r="DI2" s="420"/>
      <c r="DJ2" s="420"/>
      <c r="DK2" s="420"/>
      <c r="DL2" s="420"/>
      <c r="DM2" s="420"/>
      <c r="DN2" s="420"/>
      <c r="DO2" s="420"/>
      <c r="DP2" s="420"/>
      <c r="DQ2" s="420"/>
      <c r="DR2" s="420"/>
      <c r="DS2" s="420"/>
      <c r="DT2" s="420"/>
      <c r="DU2" s="420"/>
      <c r="DV2" s="420"/>
      <c r="DW2" s="420"/>
      <c r="DX2" s="420"/>
      <c r="DY2" s="420"/>
      <c r="DZ2" s="420"/>
      <c r="EA2" s="420"/>
      <c r="EB2" s="420"/>
      <c r="EC2" s="420"/>
      <c r="ED2" s="420"/>
      <c r="EE2" s="420"/>
      <c r="EF2" s="420"/>
      <c r="EG2" s="420"/>
      <c r="EH2" s="420"/>
      <c r="EI2" s="420"/>
      <c r="EJ2" s="420"/>
      <c r="EK2" s="420"/>
      <c r="EL2" s="420"/>
      <c r="EM2" s="420"/>
      <c r="EN2" s="420"/>
      <c r="EO2" s="420"/>
      <c r="EP2" s="420"/>
      <c r="EQ2" s="420"/>
      <c r="ER2" s="420"/>
      <c r="ES2" s="420"/>
      <c r="ET2" s="420"/>
      <c r="EU2" s="420"/>
      <c r="EV2" s="420"/>
      <c r="EW2" s="420"/>
      <c r="EX2" s="420"/>
      <c r="EY2" s="420"/>
      <c r="EZ2" s="420"/>
      <c r="FA2" s="420"/>
      <c r="FB2" s="420"/>
      <c r="FC2" s="420"/>
      <c r="FD2" s="420"/>
      <c r="FE2" s="420"/>
      <c r="FF2" s="420"/>
      <c r="FG2" s="420"/>
      <c r="FH2" s="420"/>
      <c r="FI2" s="420"/>
      <c r="FJ2" s="420"/>
      <c r="FK2" s="420"/>
      <c r="FL2" s="420"/>
      <c r="FM2" s="420"/>
      <c r="FN2" s="420"/>
      <c r="FO2" s="420"/>
      <c r="FP2" s="420"/>
      <c r="FQ2" s="420"/>
      <c r="FR2" s="420"/>
      <c r="FS2" s="420"/>
      <c r="FT2" s="420"/>
      <c r="FU2" s="420"/>
      <c r="FV2" s="420"/>
      <c r="FW2" s="420"/>
      <c r="FX2" s="420"/>
      <c r="FY2" s="420"/>
      <c r="FZ2" s="420"/>
      <c r="GA2" s="420"/>
      <c r="GB2" s="420"/>
      <c r="GC2" s="420"/>
      <c r="GD2" s="420"/>
      <c r="GE2" s="420"/>
      <c r="GF2" s="420"/>
      <c r="GG2" s="420"/>
      <c r="GH2" s="420"/>
      <c r="GI2" s="420"/>
      <c r="GJ2" s="420"/>
      <c r="GK2" s="420"/>
      <c r="GL2" s="420"/>
      <c r="GM2" s="420"/>
      <c r="GN2" s="420"/>
      <c r="GO2" s="420"/>
      <c r="GP2" s="420"/>
      <c r="GQ2" s="420"/>
      <c r="GR2" s="420"/>
      <c r="GS2" s="420"/>
      <c r="GT2" s="420"/>
      <c r="GU2" s="420"/>
      <c r="GV2" s="420"/>
      <c r="GW2" s="420"/>
      <c r="GX2" s="420"/>
      <c r="GY2" s="420"/>
      <c r="GZ2" s="420"/>
      <c r="HA2" s="420"/>
      <c r="HB2" s="420"/>
      <c r="HC2" s="420"/>
      <c r="HD2" s="420"/>
      <c r="HE2" s="420"/>
      <c r="HF2" s="420"/>
      <c r="HG2" s="420"/>
      <c r="HH2" s="420"/>
      <c r="HI2" s="420"/>
      <c r="HJ2" s="420"/>
      <c r="HK2" s="420"/>
      <c r="HL2" s="420"/>
      <c r="HM2" s="420"/>
      <c r="HN2" s="420"/>
      <c r="HO2" s="420"/>
      <c r="HP2" s="420"/>
      <c r="HQ2" s="420"/>
      <c r="HR2" s="420"/>
      <c r="HS2" s="420"/>
      <c r="HT2" s="420"/>
      <c r="HU2" s="420"/>
      <c r="HV2" s="420"/>
      <c r="HW2" s="420"/>
      <c r="HX2" s="420"/>
      <c r="HY2" s="420"/>
      <c r="HZ2" s="420"/>
      <c r="IA2" s="420"/>
      <c r="IB2" s="420"/>
      <c r="IC2" s="420"/>
      <c r="ID2" s="420"/>
      <c r="IE2" s="420"/>
      <c r="IF2" s="420"/>
      <c r="IG2" s="420"/>
      <c r="IH2" s="420"/>
      <c r="II2" s="420"/>
      <c r="IJ2" s="420"/>
      <c r="IK2" s="420"/>
      <c r="IL2" s="420"/>
      <c r="IM2" s="420"/>
      <c r="IN2" s="420"/>
      <c r="IO2" s="420"/>
      <c r="IP2" s="420"/>
      <c r="IQ2" s="420"/>
      <c r="IR2" s="420"/>
      <c r="IS2" s="420"/>
      <c r="IT2" s="420"/>
      <c r="IU2" s="420"/>
      <c r="IV2" s="420"/>
    </row>
    <row r="3" spans="1:256" s="41" customFormat="1" ht="28.5" customHeight="1" thickBot="1">
      <c r="A3" s="315" t="s">
        <v>1108</v>
      </c>
      <c r="B3" s="315"/>
      <c r="C3" s="315"/>
      <c r="D3" s="315"/>
      <c r="E3" s="315"/>
      <c r="F3" s="315"/>
      <c r="G3" s="315"/>
      <c r="H3" s="315"/>
      <c r="I3" s="315"/>
      <c r="J3" s="315"/>
      <c r="K3" s="315"/>
      <c r="L3" s="423"/>
      <c r="M3" s="80"/>
      <c r="V3" s="1449"/>
      <c r="W3" s="1449"/>
      <c r="X3" s="1449"/>
      <c r="Y3" s="1449"/>
      <c r="Z3" s="1449"/>
      <c r="AA3" s="1449"/>
      <c r="AB3" s="1449"/>
      <c r="AC3" s="1449"/>
      <c r="AD3" s="1449"/>
      <c r="AE3" s="1449"/>
      <c r="AF3" s="1449"/>
      <c r="AG3" s="1449"/>
      <c r="AH3" s="1449"/>
      <c r="AI3" s="1449"/>
      <c r="AJ3" s="1449"/>
      <c r="AK3" s="1449"/>
      <c r="AL3" s="1449"/>
      <c r="AM3" s="1449"/>
      <c r="AN3" s="1449"/>
      <c r="AO3" s="1449"/>
      <c r="AP3" s="1449"/>
      <c r="AQ3" s="1449"/>
      <c r="AR3" s="1449"/>
      <c r="AS3" s="1449"/>
      <c r="AT3" s="1449"/>
      <c r="AU3" s="1449"/>
      <c r="AV3" s="1449"/>
      <c r="AW3" s="1449"/>
      <c r="AX3" s="1449"/>
      <c r="AY3" s="1449"/>
      <c r="AZ3" s="1449"/>
      <c r="BA3" s="1449"/>
      <c r="BB3" s="1449"/>
      <c r="BC3" s="1449"/>
      <c r="BD3" s="1449"/>
      <c r="BE3" s="1449"/>
      <c r="BF3" s="1449"/>
      <c r="BG3" s="1449"/>
      <c r="BH3" s="1449"/>
      <c r="BI3" s="1449"/>
      <c r="BJ3" s="1449"/>
      <c r="BK3" s="1449"/>
      <c r="BL3" s="1449"/>
      <c r="BM3" s="1449"/>
      <c r="BN3" s="1449"/>
      <c r="BO3" s="1449"/>
      <c r="BP3" s="1449"/>
      <c r="BQ3" s="1449"/>
      <c r="BR3" s="1449"/>
      <c r="BS3" s="1449"/>
      <c r="BT3" s="1449"/>
      <c r="BU3" s="1449"/>
      <c r="BV3" s="1449"/>
      <c r="BW3" s="1449"/>
      <c r="BX3" s="1449"/>
      <c r="BY3" s="1449"/>
      <c r="BZ3" s="1449"/>
      <c r="CA3" s="1449"/>
      <c r="CB3" s="1449"/>
      <c r="CC3" s="1449"/>
      <c r="CD3" s="1449"/>
      <c r="CE3" s="1449"/>
      <c r="CF3" s="1449"/>
      <c r="CG3" s="1449"/>
      <c r="CH3" s="1449"/>
      <c r="CI3" s="1449"/>
      <c r="CJ3" s="1449"/>
      <c r="CK3" s="1449"/>
      <c r="CL3" s="1449"/>
      <c r="CM3" s="1449"/>
      <c r="CN3" s="1449"/>
      <c r="CO3" s="1449"/>
      <c r="CP3" s="1449"/>
      <c r="CQ3" s="1449"/>
      <c r="CR3" s="1449"/>
      <c r="CS3" s="1449"/>
      <c r="CT3" s="1449"/>
      <c r="CU3" s="1449"/>
      <c r="CV3" s="1449"/>
      <c r="CW3" s="1449"/>
      <c r="CX3" s="1449"/>
      <c r="CY3" s="1449"/>
      <c r="CZ3" s="1449"/>
      <c r="DA3" s="1449"/>
      <c r="DB3" s="1449"/>
      <c r="DC3" s="1449"/>
      <c r="DD3" s="1449"/>
      <c r="DE3" s="1449"/>
      <c r="DF3" s="1449"/>
      <c r="DG3" s="1449"/>
      <c r="DH3" s="1449"/>
      <c r="DI3" s="1449"/>
      <c r="DJ3" s="1449"/>
      <c r="DK3" s="1449"/>
      <c r="DL3" s="1449"/>
      <c r="DM3" s="1449"/>
      <c r="DN3" s="1449"/>
      <c r="DO3" s="1449"/>
      <c r="DP3" s="1449"/>
      <c r="DQ3" s="1449"/>
      <c r="DR3" s="1449"/>
      <c r="DS3" s="1449"/>
      <c r="DT3" s="1449"/>
      <c r="DU3" s="1449"/>
      <c r="DV3" s="1449"/>
      <c r="DW3" s="1449"/>
      <c r="DX3" s="1449"/>
      <c r="DY3" s="1449"/>
      <c r="DZ3" s="1449"/>
      <c r="EA3" s="1449"/>
      <c r="EB3" s="1449"/>
      <c r="EC3" s="1449"/>
      <c r="ED3" s="1449"/>
      <c r="EE3" s="1449"/>
      <c r="EF3" s="1449"/>
      <c r="EG3" s="1449"/>
      <c r="EH3" s="1449"/>
      <c r="EI3" s="1449"/>
      <c r="EJ3" s="1449"/>
      <c r="EK3" s="1449"/>
      <c r="EL3" s="1449"/>
      <c r="EM3" s="1449"/>
      <c r="EN3" s="1449"/>
      <c r="EO3" s="1449"/>
      <c r="EP3" s="1449"/>
      <c r="EQ3" s="1449"/>
      <c r="ER3" s="1449"/>
      <c r="ES3" s="1449"/>
      <c r="ET3" s="1449"/>
      <c r="EU3" s="1449"/>
      <c r="EV3" s="1449"/>
      <c r="EW3" s="1449"/>
      <c r="EX3" s="1449"/>
      <c r="EY3" s="1449"/>
      <c r="EZ3" s="1449"/>
      <c r="FA3" s="1449"/>
      <c r="FB3" s="1449"/>
      <c r="FC3" s="1449"/>
      <c r="FD3" s="1449"/>
      <c r="FE3" s="1449"/>
      <c r="FF3" s="1449"/>
      <c r="FG3" s="1449"/>
      <c r="FH3" s="1449"/>
      <c r="FI3" s="1449"/>
      <c r="FJ3" s="1449"/>
      <c r="FK3" s="1449"/>
      <c r="FL3" s="1449"/>
      <c r="FM3" s="1449"/>
      <c r="FN3" s="1449"/>
      <c r="FO3" s="1449"/>
      <c r="FP3" s="1449"/>
      <c r="FQ3" s="1449"/>
      <c r="FR3" s="1449"/>
      <c r="FS3" s="1449"/>
      <c r="FT3" s="1449"/>
      <c r="FU3" s="1449"/>
      <c r="FV3" s="1449"/>
      <c r="FW3" s="1449"/>
      <c r="FX3" s="1449"/>
      <c r="FY3" s="1449"/>
      <c r="FZ3" s="1449"/>
      <c r="GA3" s="1449"/>
      <c r="GB3" s="1449"/>
      <c r="GC3" s="1449"/>
      <c r="GD3" s="1449"/>
      <c r="GE3" s="1449"/>
      <c r="GF3" s="1449"/>
      <c r="GG3" s="1449"/>
      <c r="GH3" s="1449"/>
      <c r="GI3" s="1449"/>
      <c r="GJ3" s="1449"/>
      <c r="GK3" s="1449"/>
      <c r="GL3" s="1449"/>
      <c r="GM3" s="1449"/>
      <c r="GN3" s="1449"/>
      <c r="GO3" s="1449"/>
      <c r="GP3" s="1449"/>
      <c r="GQ3" s="1449"/>
      <c r="GR3" s="1449"/>
      <c r="GS3" s="1449"/>
      <c r="GT3" s="1449"/>
      <c r="GU3" s="1449"/>
      <c r="GV3" s="1449"/>
      <c r="GW3" s="1449"/>
      <c r="GX3" s="1449"/>
      <c r="GY3" s="1449"/>
      <c r="GZ3" s="1449"/>
      <c r="HA3" s="1449"/>
      <c r="HB3" s="1449"/>
      <c r="HC3" s="1449"/>
      <c r="HD3" s="1449"/>
      <c r="HE3" s="1449"/>
      <c r="HF3" s="1449"/>
      <c r="HG3" s="1449"/>
      <c r="HH3" s="1449"/>
      <c r="HI3" s="1449"/>
      <c r="HJ3" s="1449"/>
      <c r="HK3" s="1449"/>
      <c r="HL3" s="1449"/>
      <c r="HM3" s="1449"/>
      <c r="HN3" s="1449"/>
      <c r="HO3" s="1449"/>
      <c r="HP3" s="1449"/>
      <c r="HQ3" s="1449"/>
      <c r="HR3" s="1449"/>
      <c r="HS3" s="1449"/>
      <c r="HT3" s="1449"/>
      <c r="HU3" s="1449"/>
      <c r="HV3" s="1449"/>
      <c r="HW3" s="1449"/>
      <c r="HX3" s="1449"/>
      <c r="HY3" s="1449"/>
      <c r="HZ3" s="1449"/>
      <c r="IA3" s="1449"/>
      <c r="IB3" s="1449"/>
      <c r="IC3" s="1449"/>
      <c r="ID3" s="1449"/>
      <c r="IE3" s="1449"/>
      <c r="IF3" s="1449"/>
      <c r="IG3" s="1449"/>
      <c r="IH3" s="1449"/>
      <c r="II3" s="1449"/>
      <c r="IJ3" s="1449"/>
      <c r="IK3" s="1449"/>
      <c r="IL3" s="1449"/>
      <c r="IM3" s="1449"/>
      <c r="IN3" s="1449"/>
      <c r="IO3" s="1449"/>
      <c r="IP3" s="1449"/>
      <c r="IQ3" s="1449"/>
      <c r="IR3" s="1449"/>
      <c r="IS3" s="1449"/>
      <c r="IT3" s="1449"/>
      <c r="IU3" s="1449"/>
      <c r="IV3" s="1449"/>
    </row>
    <row r="4" spans="1:256" s="41" customFormat="1" ht="9.65" customHeight="1">
      <c r="A4" s="422"/>
      <c r="B4" s="422"/>
      <c r="C4" s="422"/>
      <c r="D4" s="422"/>
      <c r="E4" s="422"/>
      <c r="F4" s="422"/>
      <c r="G4" s="422"/>
      <c r="H4" s="422"/>
      <c r="I4" s="422"/>
      <c r="J4" s="422"/>
      <c r="K4" s="422"/>
      <c r="L4" s="423"/>
      <c r="M4" s="80"/>
      <c r="V4" s="421"/>
      <c r="W4" s="421"/>
      <c r="X4" s="421"/>
      <c r="Y4" s="421"/>
      <c r="Z4" s="421"/>
      <c r="AA4" s="421"/>
      <c r="AB4" s="421"/>
      <c r="AC4" s="421"/>
      <c r="AD4" s="421"/>
      <c r="AE4" s="421"/>
      <c r="AF4" s="421"/>
      <c r="AG4" s="421"/>
      <c r="AH4" s="421"/>
      <c r="AI4" s="421"/>
      <c r="AJ4" s="421"/>
      <c r="AK4" s="421"/>
      <c r="AL4" s="421"/>
      <c r="AM4" s="421"/>
      <c r="AN4" s="421"/>
      <c r="AO4" s="421"/>
      <c r="AP4" s="421"/>
      <c r="AQ4" s="421"/>
      <c r="AR4" s="421"/>
      <c r="AS4" s="421"/>
      <c r="AT4" s="421"/>
      <c r="AU4" s="421"/>
      <c r="AV4" s="421"/>
      <c r="AW4" s="421"/>
      <c r="AX4" s="421"/>
      <c r="AY4" s="421"/>
      <c r="AZ4" s="421"/>
      <c r="BA4" s="421"/>
      <c r="BB4" s="421"/>
      <c r="BC4" s="421"/>
      <c r="BD4" s="421"/>
      <c r="BE4" s="421"/>
      <c r="BF4" s="421"/>
      <c r="BG4" s="421"/>
      <c r="BH4" s="421"/>
      <c r="BI4" s="421"/>
      <c r="BJ4" s="421"/>
      <c r="BK4" s="421"/>
      <c r="BL4" s="421"/>
      <c r="BM4" s="421"/>
      <c r="BN4" s="421"/>
      <c r="BO4" s="421"/>
      <c r="BP4" s="421"/>
      <c r="BQ4" s="421"/>
      <c r="BR4" s="421"/>
      <c r="BS4" s="421"/>
      <c r="BT4" s="421"/>
      <c r="BU4" s="421"/>
      <c r="BV4" s="421"/>
      <c r="BW4" s="421"/>
      <c r="BX4" s="421"/>
      <c r="BY4" s="421"/>
      <c r="BZ4" s="421"/>
      <c r="CA4" s="421"/>
      <c r="CB4" s="421"/>
      <c r="CC4" s="421"/>
      <c r="CD4" s="421"/>
      <c r="CE4" s="421"/>
      <c r="CF4" s="421"/>
      <c r="CG4" s="421"/>
      <c r="CH4" s="421"/>
      <c r="CI4" s="421"/>
      <c r="CJ4" s="421"/>
      <c r="CK4" s="421"/>
      <c r="CL4" s="421"/>
      <c r="CM4" s="421"/>
      <c r="CN4" s="421"/>
      <c r="CO4" s="421"/>
      <c r="CP4" s="421"/>
      <c r="CQ4" s="421"/>
      <c r="CR4" s="421"/>
      <c r="CS4" s="421"/>
      <c r="CT4" s="421"/>
      <c r="CU4" s="421"/>
      <c r="CV4" s="421"/>
      <c r="CW4" s="421"/>
      <c r="CX4" s="421"/>
      <c r="CY4" s="421"/>
      <c r="CZ4" s="421"/>
      <c r="DA4" s="421"/>
      <c r="DB4" s="421"/>
      <c r="DC4" s="421"/>
      <c r="DD4" s="421"/>
      <c r="DE4" s="421"/>
      <c r="DF4" s="421"/>
      <c r="DG4" s="421"/>
      <c r="DH4" s="421"/>
      <c r="DI4" s="421"/>
      <c r="DJ4" s="421"/>
      <c r="DK4" s="421"/>
      <c r="DL4" s="421"/>
      <c r="DM4" s="421"/>
      <c r="DN4" s="421"/>
      <c r="DO4" s="421"/>
      <c r="DP4" s="421"/>
      <c r="DQ4" s="421"/>
      <c r="DR4" s="421"/>
      <c r="DS4" s="421"/>
      <c r="DT4" s="421"/>
      <c r="DU4" s="421"/>
      <c r="DV4" s="421"/>
      <c r="DW4" s="421"/>
      <c r="DX4" s="421"/>
      <c r="DY4" s="421"/>
      <c r="DZ4" s="421"/>
      <c r="EA4" s="421"/>
      <c r="EB4" s="421"/>
      <c r="EC4" s="421"/>
      <c r="ED4" s="421"/>
      <c r="EE4" s="421"/>
      <c r="EF4" s="421"/>
      <c r="EG4" s="421"/>
      <c r="EH4" s="421"/>
      <c r="EI4" s="421"/>
      <c r="EJ4" s="421"/>
      <c r="EK4" s="421"/>
      <c r="EL4" s="421"/>
      <c r="EM4" s="421"/>
      <c r="EN4" s="421"/>
      <c r="EO4" s="421"/>
      <c r="EP4" s="421"/>
      <c r="EQ4" s="421"/>
      <c r="ER4" s="421"/>
      <c r="ES4" s="421"/>
      <c r="ET4" s="421"/>
      <c r="EU4" s="421"/>
      <c r="EV4" s="421"/>
      <c r="EW4" s="421"/>
      <c r="EX4" s="421"/>
      <c r="EY4" s="421"/>
      <c r="EZ4" s="421"/>
      <c r="FA4" s="421"/>
      <c r="FB4" s="421"/>
      <c r="FC4" s="421"/>
      <c r="FD4" s="421"/>
      <c r="FE4" s="421"/>
      <c r="FF4" s="421"/>
      <c r="FG4" s="421"/>
      <c r="FH4" s="421"/>
      <c r="FI4" s="421"/>
      <c r="FJ4" s="421"/>
      <c r="FK4" s="421"/>
      <c r="FL4" s="421"/>
      <c r="FM4" s="421"/>
      <c r="FN4" s="421"/>
      <c r="FO4" s="421"/>
      <c r="FP4" s="421"/>
      <c r="FQ4" s="421"/>
      <c r="FR4" s="421"/>
      <c r="FS4" s="421"/>
      <c r="FT4" s="421"/>
      <c r="FU4" s="421"/>
      <c r="FV4" s="421"/>
      <c r="FW4" s="421"/>
      <c r="FX4" s="421"/>
      <c r="FY4" s="421"/>
      <c r="FZ4" s="421"/>
      <c r="GA4" s="421"/>
      <c r="GB4" s="421"/>
      <c r="GC4" s="421"/>
      <c r="GD4" s="421"/>
      <c r="GE4" s="421"/>
      <c r="GF4" s="421"/>
      <c r="GG4" s="421"/>
      <c r="GH4" s="421"/>
      <c r="GI4" s="421"/>
      <c r="GJ4" s="421"/>
      <c r="GK4" s="421"/>
      <c r="GL4" s="421"/>
      <c r="GM4" s="421"/>
      <c r="GN4" s="421"/>
      <c r="GO4" s="421"/>
      <c r="GP4" s="421"/>
      <c r="GQ4" s="421"/>
      <c r="GR4" s="421"/>
      <c r="GS4" s="421"/>
      <c r="GT4" s="421"/>
      <c r="GU4" s="421"/>
      <c r="GV4" s="421"/>
      <c r="GW4" s="421"/>
      <c r="GX4" s="421"/>
      <c r="GY4" s="421"/>
      <c r="GZ4" s="421"/>
      <c r="HA4" s="421"/>
      <c r="HB4" s="421"/>
      <c r="HC4" s="421"/>
      <c r="HD4" s="421"/>
      <c r="HE4" s="421"/>
      <c r="HF4" s="421"/>
      <c r="HG4" s="421"/>
      <c r="HH4" s="421"/>
      <c r="HI4" s="421"/>
      <c r="HJ4" s="421"/>
      <c r="HK4" s="421"/>
      <c r="HL4" s="421"/>
      <c r="HM4" s="421"/>
      <c r="HN4" s="421"/>
      <c r="HO4" s="421"/>
      <c r="HP4" s="421"/>
      <c r="HQ4" s="421"/>
      <c r="HR4" s="421"/>
      <c r="HS4" s="421"/>
      <c r="HT4" s="421"/>
      <c r="HU4" s="421"/>
      <c r="HV4" s="421"/>
      <c r="HW4" s="421"/>
      <c r="HX4" s="421"/>
      <c r="HY4" s="421"/>
      <c r="HZ4" s="421"/>
      <c r="IA4" s="421"/>
      <c r="IB4" s="421"/>
      <c r="IC4" s="421"/>
      <c r="ID4" s="421"/>
      <c r="IE4" s="421"/>
      <c r="IF4" s="421"/>
      <c r="IG4" s="421"/>
      <c r="IH4" s="421"/>
      <c r="II4" s="421"/>
      <c r="IJ4" s="421"/>
      <c r="IK4" s="421"/>
      <c r="IL4" s="421"/>
      <c r="IM4" s="421"/>
      <c r="IN4" s="421"/>
      <c r="IO4" s="421"/>
      <c r="IP4" s="421"/>
      <c r="IQ4" s="421"/>
      <c r="IR4" s="421"/>
      <c r="IS4" s="421"/>
      <c r="IT4" s="421"/>
      <c r="IU4" s="421"/>
      <c r="IV4" s="421"/>
    </row>
    <row r="5" spans="1:256" s="41" customFormat="1" ht="30" customHeight="1">
      <c r="A5" s="1452" t="s">
        <v>1109</v>
      </c>
      <c r="B5" s="1452"/>
      <c r="C5" s="1452"/>
      <c r="D5" s="1452"/>
      <c r="E5" s="1452"/>
      <c r="F5" s="1452"/>
      <c r="G5" s="1452"/>
      <c r="H5" s="1452"/>
      <c r="I5" s="1452"/>
      <c r="J5" s="1452"/>
      <c r="K5" s="1452"/>
      <c r="L5" s="1452"/>
      <c r="M5" s="80"/>
      <c r="V5" s="421"/>
      <c r="W5" s="421"/>
      <c r="X5" s="421"/>
      <c r="Y5" s="421"/>
      <c r="Z5" s="421"/>
      <c r="AA5" s="421"/>
      <c r="AB5" s="421"/>
      <c r="AC5" s="421"/>
      <c r="AD5" s="421"/>
      <c r="AE5" s="421"/>
      <c r="AF5" s="421"/>
      <c r="AG5" s="421"/>
      <c r="AH5" s="421"/>
      <c r="AI5" s="421"/>
      <c r="AJ5" s="421"/>
      <c r="AK5" s="421"/>
      <c r="AL5" s="421"/>
      <c r="AM5" s="421"/>
      <c r="AN5" s="421"/>
      <c r="AO5" s="421"/>
      <c r="AP5" s="421"/>
      <c r="AQ5" s="421"/>
      <c r="AR5" s="421"/>
      <c r="AS5" s="421"/>
      <c r="AT5" s="421"/>
      <c r="AU5" s="421"/>
      <c r="AV5" s="421"/>
      <c r="AW5" s="421"/>
      <c r="AX5" s="421"/>
      <c r="AY5" s="421"/>
      <c r="AZ5" s="421"/>
      <c r="BA5" s="421"/>
      <c r="BB5" s="421"/>
      <c r="BC5" s="421"/>
      <c r="BD5" s="421"/>
      <c r="BE5" s="421"/>
      <c r="BF5" s="421"/>
      <c r="BG5" s="421"/>
      <c r="BH5" s="421"/>
      <c r="BI5" s="421"/>
      <c r="BJ5" s="421"/>
      <c r="BK5" s="421"/>
      <c r="BL5" s="421"/>
      <c r="BM5" s="421"/>
      <c r="BN5" s="421"/>
      <c r="BO5" s="421"/>
      <c r="BP5" s="421"/>
      <c r="BQ5" s="421"/>
      <c r="BR5" s="421"/>
      <c r="BS5" s="421"/>
      <c r="BT5" s="421"/>
      <c r="BU5" s="421"/>
      <c r="BV5" s="421"/>
      <c r="BW5" s="421"/>
      <c r="BX5" s="421"/>
      <c r="BY5" s="421"/>
      <c r="BZ5" s="421"/>
      <c r="CA5" s="421"/>
      <c r="CB5" s="421"/>
      <c r="CC5" s="421"/>
      <c r="CD5" s="421"/>
      <c r="CE5" s="421"/>
      <c r="CF5" s="421"/>
      <c r="CG5" s="421"/>
      <c r="CH5" s="421"/>
      <c r="CI5" s="421"/>
      <c r="CJ5" s="421"/>
      <c r="CK5" s="421"/>
      <c r="CL5" s="421"/>
      <c r="CM5" s="421"/>
      <c r="CN5" s="421"/>
      <c r="CO5" s="421"/>
      <c r="CP5" s="421"/>
      <c r="CQ5" s="421"/>
      <c r="CR5" s="421"/>
      <c r="CS5" s="421"/>
      <c r="CT5" s="421"/>
      <c r="CU5" s="421"/>
      <c r="CV5" s="421"/>
      <c r="CW5" s="421"/>
      <c r="CX5" s="421"/>
      <c r="CY5" s="421"/>
      <c r="CZ5" s="421"/>
      <c r="DA5" s="421"/>
      <c r="DB5" s="421"/>
      <c r="DC5" s="421"/>
      <c r="DD5" s="421"/>
      <c r="DE5" s="421"/>
      <c r="DF5" s="421"/>
      <c r="DG5" s="421"/>
      <c r="DH5" s="421"/>
      <c r="DI5" s="421"/>
      <c r="DJ5" s="421"/>
      <c r="DK5" s="421"/>
      <c r="DL5" s="421"/>
      <c r="DM5" s="421"/>
      <c r="DN5" s="421"/>
      <c r="DO5" s="421"/>
      <c r="DP5" s="421"/>
      <c r="DQ5" s="421"/>
      <c r="DR5" s="421"/>
      <c r="DS5" s="421"/>
      <c r="DT5" s="421"/>
      <c r="DU5" s="421"/>
      <c r="DV5" s="421"/>
      <c r="DW5" s="421"/>
      <c r="DX5" s="421"/>
      <c r="DY5" s="421"/>
      <c r="DZ5" s="421"/>
      <c r="EA5" s="421"/>
      <c r="EB5" s="421"/>
      <c r="EC5" s="421"/>
      <c r="ED5" s="421"/>
      <c r="EE5" s="421"/>
      <c r="EF5" s="421"/>
      <c r="EG5" s="421"/>
      <c r="EH5" s="421"/>
      <c r="EI5" s="421"/>
      <c r="EJ5" s="421"/>
      <c r="EK5" s="421"/>
      <c r="EL5" s="421"/>
      <c r="EM5" s="421"/>
      <c r="EN5" s="421"/>
      <c r="EO5" s="421"/>
      <c r="EP5" s="421"/>
      <c r="EQ5" s="421"/>
      <c r="ER5" s="421"/>
      <c r="ES5" s="421"/>
      <c r="ET5" s="421"/>
      <c r="EU5" s="421"/>
      <c r="EV5" s="421"/>
      <c r="EW5" s="421"/>
      <c r="EX5" s="421"/>
      <c r="EY5" s="421"/>
      <c r="EZ5" s="421"/>
      <c r="FA5" s="421"/>
      <c r="FB5" s="421"/>
      <c r="FC5" s="421"/>
      <c r="FD5" s="421"/>
      <c r="FE5" s="421"/>
      <c r="FF5" s="421"/>
      <c r="FG5" s="421"/>
      <c r="FH5" s="421"/>
      <c r="FI5" s="421"/>
      <c r="FJ5" s="421"/>
      <c r="FK5" s="421"/>
      <c r="FL5" s="421"/>
      <c r="FM5" s="421"/>
      <c r="FN5" s="421"/>
      <c r="FO5" s="421"/>
      <c r="FP5" s="421"/>
      <c r="FQ5" s="421"/>
      <c r="FR5" s="421"/>
      <c r="FS5" s="421"/>
      <c r="FT5" s="421"/>
      <c r="FU5" s="421"/>
      <c r="FV5" s="421"/>
      <c r="FW5" s="421"/>
      <c r="FX5" s="421"/>
      <c r="FY5" s="421"/>
      <c r="FZ5" s="421"/>
      <c r="GA5" s="421"/>
      <c r="GB5" s="421"/>
      <c r="GC5" s="421"/>
      <c r="GD5" s="421"/>
      <c r="GE5" s="421"/>
      <c r="GF5" s="421"/>
      <c r="GG5" s="421"/>
      <c r="GH5" s="421"/>
      <c r="GI5" s="421"/>
      <c r="GJ5" s="421"/>
      <c r="GK5" s="421"/>
      <c r="GL5" s="421"/>
      <c r="GM5" s="421"/>
      <c r="GN5" s="421"/>
      <c r="GO5" s="421"/>
      <c r="GP5" s="421"/>
      <c r="GQ5" s="421"/>
      <c r="GR5" s="421"/>
      <c r="GS5" s="421"/>
      <c r="GT5" s="421"/>
      <c r="GU5" s="421"/>
      <c r="GV5" s="421"/>
      <c r="GW5" s="421"/>
      <c r="GX5" s="421"/>
      <c r="GY5" s="421"/>
      <c r="GZ5" s="421"/>
      <c r="HA5" s="421"/>
      <c r="HB5" s="421"/>
      <c r="HC5" s="421"/>
      <c r="HD5" s="421"/>
      <c r="HE5" s="421"/>
      <c r="HF5" s="421"/>
      <c r="HG5" s="421"/>
      <c r="HH5" s="421"/>
      <c r="HI5" s="421"/>
      <c r="HJ5" s="421"/>
      <c r="HK5" s="421"/>
      <c r="HL5" s="421"/>
      <c r="HM5" s="421"/>
      <c r="HN5" s="421"/>
      <c r="HO5" s="421"/>
      <c r="HP5" s="421"/>
      <c r="HQ5" s="421"/>
      <c r="HR5" s="421"/>
      <c r="HS5" s="421"/>
      <c r="HT5" s="421"/>
      <c r="HU5" s="421"/>
      <c r="HV5" s="421"/>
      <c r="HW5" s="421"/>
      <c r="HX5" s="421"/>
      <c r="HY5" s="421"/>
      <c r="HZ5" s="421"/>
      <c r="IA5" s="421"/>
      <c r="IB5" s="421"/>
      <c r="IC5" s="421"/>
      <c r="ID5" s="421"/>
      <c r="IE5" s="421"/>
      <c r="IF5" s="421"/>
      <c r="IG5" s="421"/>
      <c r="IH5" s="421"/>
      <c r="II5" s="421"/>
      <c r="IJ5" s="421"/>
      <c r="IK5" s="421"/>
      <c r="IL5" s="421"/>
      <c r="IM5" s="421"/>
      <c r="IN5" s="421"/>
      <c r="IO5" s="421"/>
      <c r="IP5" s="421"/>
      <c r="IQ5" s="421"/>
      <c r="IR5" s="421"/>
      <c r="IS5" s="421"/>
      <c r="IT5" s="421"/>
      <c r="IU5" s="421"/>
      <c r="IV5" s="421"/>
    </row>
    <row r="6" spans="1:256" s="41" customFormat="1" ht="28.5" customHeight="1">
      <c r="A6" s="1452"/>
      <c r="B6" s="1452"/>
      <c r="C6" s="1452"/>
      <c r="D6" s="1452"/>
      <c r="E6" s="1452"/>
      <c r="F6" s="1452"/>
      <c r="G6" s="1452"/>
      <c r="H6" s="1452"/>
      <c r="I6" s="1452"/>
      <c r="J6" s="1452"/>
      <c r="K6" s="1452"/>
      <c r="L6" s="1452"/>
      <c r="M6" s="80"/>
      <c r="V6" s="421"/>
      <c r="W6" s="421"/>
      <c r="X6" s="421"/>
      <c r="Y6" s="421"/>
      <c r="Z6" s="421"/>
      <c r="AA6" s="421"/>
      <c r="AB6" s="421"/>
      <c r="AC6" s="421"/>
      <c r="AD6" s="421"/>
      <c r="AE6" s="421"/>
      <c r="AF6" s="421"/>
      <c r="AG6" s="421"/>
      <c r="AH6" s="421"/>
      <c r="AI6" s="421"/>
      <c r="AJ6" s="421"/>
      <c r="AK6" s="421"/>
      <c r="AL6" s="421"/>
      <c r="AM6" s="421"/>
      <c r="AN6" s="421"/>
      <c r="AO6" s="421"/>
      <c r="AP6" s="421"/>
      <c r="AQ6" s="421"/>
      <c r="AR6" s="421"/>
      <c r="AS6" s="421"/>
      <c r="AT6" s="421"/>
      <c r="AU6" s="421"/>
      <c r="AV6" s="421"/>
      <c r="AW6" s="421"/>
      <c r="AX6" s="421"/>
      <c r="AY6" s="421"/>
      <c r="AZ6" s="421"/>
      <c r="BA6" s="421"/>
      <c r="BB6" s="421"/>
      <c r="BC6" s="421"/>
      <c r="BD6" s="421"/>
      <c r="BE6" s="421"/>
      <c r="BF6" s="421"/>
      <c r="BG6" s="421"/>
      <c r="BH6" s="421"/>
      <c r="BI6" s="421"/>
      <c r="BJ6" s="421"/>
      <c r="BK6" s="421"/>
      <c r="BL6" s="421"/>
      <c r="BM6" s="421"/>
      <c r="BN6" s="421"/>
      <c r="BO6" s="421"/>
      <c r="BP6" s="421"/>
      <c r="BQ6" s="421"/>
      <c r="BR6" s="421"/>
      <c r="BS6" s="421"/>
      <c r="BT6" s="421"/>
      <c r="BU6" s="421"/>
      <c r="BV6" s="421"/>
      <c r="BW6" s="421"/>
      <c r="BX6" s="421"/>
      <c r="BY6" s="421"/>
      <c r="BZ6" s="421"/>
      <c r="CA6" s="421"/>
      <c r="CB6" s="421"/>
      <c r="CC6" s="421"/>
      <c r="CD6" s="421"/>
      <c r="CE6" s="421"/>
      <c r="CF6" s="421"/>
      <c r="CG6" s="421"/>
      <c r="CH6" s="421"/>
      <c r="CI6" s="421"/>
      <c r="CJ6" s="421"/>
      <c r="CK6" s="421"/>
      <c r="CL6" s="421"/>
      <c r="CM6" s="421"/>
      <c r="CN6" s="421"/>
      <c r="CO6" s="421"/>
      <c r="CP6" s="421"/>
      <c r="CQ6" s="421"/>
      <c r="CR6" s="421"/>
      <c r="CS6" s="421"/>
      <c r="CT6" s="421"/>
      <c r="CU6" s="421"/>
      <c r="CV6" s="421"/>
      <c r="CW6" s="421"/>
      <c r="CX6" s="421"/>
      <c r="CY6" s="421"/>
      <c r="CZ6" s="421"/>
      <c r="DA6" s="421"/>
      <c r="DB6" s="421"/>
      <c r="DC6" s="421"/>
      <c r="DD6" s="421"/>
      <c r="DE6" s="421"/>
      <c r="DF6" s="421"/>
      <c r="DG6" s="421"/>
      <c r="DH6" s="421"/>
      <c r="DI6" s="421"/>
      <c r="DJ6" s="421"/>
      <c r="DK6" s="421"/>
      <c r="DL6" s="421"/>
      <c r="DM6" s="421"/>
      <c r="DN6" s="421"/>
      <c r="DO6" s="421"/>
      <c r="DP6" s="421"/>
      <c r="DQ6" s="421"/>
      <c r="DR6" s="421"/>
      <c r="DS6" s="421"/>
      <c r="DT6" s="421"/>
      <c r="DU6" s="421"/>
      <c r="DV6" s="421"/>
      <c r="DW6" s="421"/>
      <c r="DX6" s="421"/>
      <c r="DY6" s="421"/>
      <c r="DZ6" s="421"/>
      <c r="EA6" s="421"/>
      <c r="EB6" s="421"/>
      <c r="EC6" s="421"/>
      <c r="ED6" s="421"/>
      <c r="EE6" s="421"/>
      <c r="EF6" s="421"/>
      <c r="EG6" s="421"/>
      <c r="EH6" s="421"/>
      <c r="EI6" s="421"/>
      <c r="EJ6" s="421"/>
      <c r="EK6" s="421"/>
      <c r="EL6" s="421"/>
      <c r="EM6" s="421"/>
      <c r="EN6" s="421"/>
      <c r="EO6" s="421"/>
      <c r="EP6" s="421"/>
      <c r="EQ6" s="421"/>
      <c r="ER6" s="421"/>
      <c r="ES6" s="421"/>
      <c r="ET6" s="421"/>
      <c r="EU6" s="421"/>
      <c r="EV6" s="421"/>
      <c r="EW6" s="421"/>
      <c r="EX6" s="421"/>
      <c r="EY6" s="421"/>
      <c r="EZ6" s="421"/>
      <c r="FA6" s="421"/>
      <c r="FB6" s="421"/>
      <c r="FC6" s="421"/>
      <c r="FD6" s="421"/>
      <c r="FE6" s="421"/>
      <c r="FF6" s="421"/>
      <c r="FG6" s="421"/>
      <c r="FH6" s="421"/>
      <c r="FI6" s="421"/>
      <c r="FJ6" s="421"/>
      <c r="FK6" s="421"/>
      <c r="FL6" s="421"/>
      <c r="FM6" s="421"/>
      <c r="FN6" s="421"/>
      <c r="FO6" s="421"/>
      <c r="FP6" s="421"/>
      <c r="FQ6" s="421"/>
      <c r="FR6" s="421"/>
      <c r="FS6" s="421"/>
      <c r="FT6" s="421"/>
      <c r="FU6" s="421"/>
      <c r="FV6" s="421"/>
      <c r="FW6" s="421"/>
      <c r="FX6" s="421"/>
      <c r="FY6" s="421"/>
      <c r="FZ6" s="421"/>
      <c r="GA6" s="421"/>
      <c r="GB6" s="421"/>
      <c r="GC6" s="421"/>
      <c r="GD6" s="421"/>
      <c r="GE6" s="421"/>
      <c r="GF6" s="421"/>
      <c r="GG6" s="421"/>
      <c r="GH6" s="421"/>
      <c r="GI6" s="421"/>
      <c r="GJ6" s="421"/>
      <c r="GK6" s="421"/>
      <c r="GL6" s="421"/>
      <c r="GM6" s="421"/>
      <c r="GN6" s="421"/>
      <c r="GO6" s="421"/>
      <c r="GP6" s="421"/>
      <c r="GQ6" s="421"/>
      <c r="GR6" s="421"/>
      <c r="GS6" s="421"/>
      <c r="GT6" s="421"/>
      <c r="GU6" s="421"/>
      <c r="GV6" s="421"/>
      <c r="GW6" s="421"/>
      <c r="GX6" s="421"/>
      <c r="GY6" s="421"/>
      <c r="GZ6" s="421"/>
      <c r="HA6" s="421"/>
      <c r="HB6" s="421"/>
      <c r="HC6" s="421"/>
      <c r="HD6" s="421"/>
      <c r="HE6" s="421"/>
      <c r="HF6" s="421"/>
      <c r="HG6" s="421"/>
      <c r="HH6" s="421"/>
      <c r="HI6" s="421"/>
      <c r="HJ6" s="421"/>
      <c r="HK6" s="421"/>
      <c r="HL6" s="421"/>
      <c r="HM6" s="421"/>
      <c r="HN6" s="421"/>
      <c r="HO6" s="421"/>
      <c r="HP6" s="421"/>
      <c r="HQ6" s="421"/>
      <c r="HR6" s="421"/>
      <c r="HS6" s="421"/>
      <c r="HT6" s="421"/>
      <c r="HU6" s="421"/>
      <c r="HV6" s="421"/>
      <c r="HW6" s="421"/>
      <c r="HX6" s="421"/>
      <c r="HY6" s="421"/>
      <c r="HZ6" s="421"/>
      <c r="IA6" s="421"/>
      <c r="IB6" s="421"/>
      <c r="IC6" s="421"/>
      <c r="ID6" s="421"/>
      <c r="IE6" s="421"/>
      <c r="IF6" s="421"/>
      <c r="IG6" s="421"/>
      <c r="IH6" s="421"/>
      <c r="II6" s="421"/>
      <c r="IJ6" s="421"/>
      <c r="IK6" s="421"/>
      <c r="IL6" s="421"/>
      <c r="IM6" s="421"/>
      <c r="IN6" s="421"/>
      <c r="IO6" s="421"/>
      <c r="IP6" s="421"/>
      <c r="IQ6" s="421"/>
      <c r="IR6" s="421"/>
      <c r="IS6" s="421"/>
      <c r="IT6" s="421"/>
      <c r="IU6" s="421"/>
      <c r="IV6" s="421"/>
    </row>
    <row r="7" spans="1:256" ht="20.149999999999999" customHeight="1">
      <c r="A7" s="1451"/>
      <c r="B7" s="1451"/>
      <c r="C7" s="1451"/>
      <c r="D7" s="1451"/>
      <c r="E7" s="1451"/>
      <c r="F7" s="1451"/>
      <c r="G7" s="1451"/>
      <c r="H7" s="1451"/>
      <c r="I7" s="1451"/>
      <c r="J7" s="1451"/>
      <c r="K7" s="1451"/>
      <c r="L7" s="1451"/>
    </row>
    <row r="8" spans="1:256" customFormat="1" ht="15.5">
      <c r="A8" s="1452" t="s">
        <v>1110</v>
      </c>
      <c r="B8" s="1452"/>
      <c r="C8" s="1452"/>
      <c r="D8" s="1452"/>
      <c r="E8" s="1452"/>
      <c r="F8" s="1452"/>
      <c r="G8" s="1452"/>
      <c r="H8" s="1452"/>
      <c r="I8" s="1452"/>
      <c r="J8" s="1452"/>
      <c r="K8" s="1452"/>
    </row>
    <row r="9" spans="1:256" customFormat="1" ht="10" customHeight="1">
      <c r="A9" s="1453"/>
      <c r="B9" s="1453"/>
      <c r="C9" s="1453"/>
      <c r="D9" s="1453"/>
      <c r="E9" s="1453"/>
      <c r="F9" s="1453"/>
      <c r="G9" s="1453"/>
      <c r="H9" s="1453"/>
      <c r="I9" s="1453"/>
      <c r="J9" s="1453"/>
      <c r="K9" s="1453"/>
    </row>
    <row r="10" spans="1:256" customFormat="1" ht="24.75" customHeight="1">
      <c r="A10" s="1454"/>
      <c r="B10" s="1454"/>
      <c r="C10" s="1454"/>
      <c r="D10" s="1454"/>
      <c r="E10" s="1454"/>
      <c r="F10" s="1454"/>
      <c r="G10" s="1454"/>
      <c r="H10" s="1454"/>
      <c r="I10" s="1454"/>
      <c r="J10" s="1454"/>
      <c r="K10" s="1454"/>
    </row>
    <row r="11" spans="1:256" customFormat="1" ht="30" customHeight="1">
      <c r="A11" s="1454"/>
      <c r="B11" s="1454"/>
      <c r="C11" s="1454"/>
      <c r="D11" s="1454"/>
      <c r="E11" s="1454"/>
      <c r="F11" s="1454"/>
      <c r="G11" s="1454"/>
      <c r="H11" s="1454"/>
      <c r="I11" s="1454"/>
      <c r="J11" s="1454"/>
      <c r="K11" s="1454"/>
    </row>
    <row r="12" spans="1:256" customFormat="1" ht="13" customHeight="1"/>
    <row r="13" spans="1:256" customFormat="1" ht="30" customHeight="1">
      <c r="A13" s="1452" t="s">
        <v>1455</v>
      </c>
      <c r="B13" s="1452"/>
      <c r="C13" s="1452"/>
      <c r="D13" s="1452"/>
      <c r="E13" s="1452"/>
      <c r="F13" s="1452"/>
      <c r="G13" s="1452"/>
      <c r="H13" s="1452"/>
      <c r="I13" s="1452"/>
      <c r="J13" s="1452"/>
      <c r="K13" s="1452"/>
    </row>
    <row r="14" spans="1:256" customFormat="1" ht="14.5">
      <c r="A14" s="1452"/>
      <c r="B14" s="1452"/>
      <c r="C14" s="1452"/>
      <c r="D14" s="1452"/>
      <c r="E14" s="1452"/>
      <c r="F14" s="1452"/>
      <c r="G14" s="1452"/>
      <c r="H14" s="1452"/>
      <c r="I14" s="1452"/>
      <c r="J14" s="1452"/>
      <c r="K14" s="1452"/>
    </row>
    <row r="15" spans="1:256" customFormat="1" ht="21.65" customHeight="1">
      <c r="A15" s="1452" t="s">
        <v>1112</v>
      </c>
      <c r="B15" s="1452"/>
      <c r="C15" s="425"/>
      <c r="D15" s="424"/>
      <c r="E15" s="424"/>
      <c r="F15" s="424"/>
      <c r="G15" s="424"/>
      <c r="H15" s="424"/>
      <c r="I15" s="424"/>
      <c r="J15" s="424"/>
      <c r="K15" s="424"/>
    </row>
    <row r="16" spans="1:256" customFormat="1" ht="17.149999999999999" customHeight="1"/>
    <row r="17" spans="1:12" ht="17.25" customHeight="1">
      <c r="A17" s="1436" t="s">
        <v>1111</v>
      </c>
      <c r="B17" s="1436"/>
      <c r="C17" s="1436"/>
      <c r="D17" s="1436"/>
      <c r="E17" s="1436"/>
      <c r="F17" s="1436"/>
      <c r="G17" s="1436"/>
      <c r="H17" s="1436"/>
      <c r="I17" s="1436"/>
      <c r="J17" s="1436"/>
      <c r="K17" s="1436"/>
      <c r="L17" s="1436"/>
    </row>
    <row r="18" spans="1:12" ht="8.15" customHeight="1">
      <c r="A18" s="29"/>
      <c r="B18" s="29"/>
      <c r="C18" s="283"/>
      <c r="D18" s="283"/>
      <c r="E18" s="283"/>
      <c r="F18" s="283"/>
      <c r="G18" s="283"/>
      <c r="H18" s="283"/>
      <c r="I18" s="283"/>
      <c r="J18" s="284"/>
      <c r="K18" s="284"/>
      <c r="L18" s="284"/>
    </row>
    <row r="19" spans="1:12" ht="17.25" customHeight="1">
      <c r="A19" s="1452" t="s">
        <v>1114</v>
      </c>
      <c r="B19" s="1452"/>
      <c r="C19" s="1452"/>
      <c r="D19" s="1452"/>
      <c r="E19" s="1452"/>
      <c r="F19" s="1452"/>
      <c r="G19" s="1452"/>
      <c r="H19" s="1452"/>
      <c r="I19" s="1452"/>
      <c r="J19" s="1452"/>
      <c r="K19" s="1452"/>
      <c r="L19" s="284"/>
    </row>
    <row r="20" spans="1:12" ht="64.5" customHeight="1">
      <c r="A20" s="1452"/>
      <c r="B20" s="1452"/>
      <c r="C20" s="1452"/>
      <c r="D20" s="1452"/>
      <c r="E20" s="1452"/>
      <c r="F20" s="1452"/>
      <c r="G20" s="1452"/>
      <c r="H20" s="1452"/>
      <c r="I20" s="1452"/>
      <c r="J20" s="1452"/>
      <c r="K20" s="1452"/>
      <c r="L20" s="284"/>
    </row>
    <row r="21" spans="1:12" ht="28" customHeight="1">
      <c r="A21" s="1452"/>
      <c r="B21" s="1452"/>
      <c r="C21" s="1452"/>
      <c r="D21" s="1452"/>
      <c r="E21" s="1452"/>
      <c r="F21" s="1452"/>
      <c r="G21" s="1452"/>
      <c r="H21" s="1452"/>
      <c r="I21" s="1452"/>
      <c r="J21" s="1452"/>
      <c r="K21" s="1452"/>
      <c r="L21" s="284"/>
    </row>
    <row r="22" spans="1:12" s="81" customFormat="1" ht="18">
      <c r="A22" s="1436" t="s">
        <v>1113</v>
      </c>
      <c r="B22" s="1436"/>
      <c r="C22" s="1436"/>
      <c r="D22" s="1436"/>
      <c r="E22" s="1436"/>
      <c r="F22" s="1436"/>
      <c r="G22" s="1436"/>
      <c r="H22" s="1436"/>
      <c r="I22" s="1436"/>
      <c r="J22" s="1436"/>
      <c r="K22" s="1436"/>
      <c r="L22" s="1436"/>
    </row>
    <row r="23" spans="1:12" ht="9" customHeight="1">
      <c r="A23" s="29"/>
      <c r="B23" s="29"/>
    </row>
    <row r="24" spans="1:12" ht="17.25" customHeight="1">
      <c r="A24" s="1452" t="s">
        <v>1115</v>
      </c>
      <c r="B24" s="1452"/>
      <c r="C24" s="1452"/>
      <c r="D24" s="1452"/>
      <c r="E24" s="1452"/>
      <c r="F24" s="1452"/>
      <c r="G24" s="1452"/>
      <c r="H24" s="1452"/>
      <c r="I24" s="1452"/>
      <c r="J24" s="1452"/>
      <c r="K24" s="1452"/>
      <c r="L24" s="284"/>
    </row>
    <row r="25" spans="1:12" customFormat="1" ht="26.15" customHeight="1">
      <c r="A25" s="1452"/>
      <c r="B25" s="1452"/>
      <c r="C25" s="1452"/>
      <c r="D25" s="1452"/>
      <c r="E25" s="1452"/>
      <c r="F25" s="1452"/>
      <c r="G25" s="1452"/>
      <c r="H25" s="1452"/>
      <c r="I25" s="1452"/>
      <c r="J25" s="1452"/>
      <c r="K25" s="1452"/>
    </row>
    <row r="26" spans="1:12" customFormat="1" ht="13" customHeight="1"/>
    <row r="27" spans="1:12" customFormat="1" ht="26.15" customHeight="1">
      <c r="A27" s="1452" t="s">
        <v>1116</v>
      </c>
      <c r="B27" s="1452"/>
      <c r="C27" s="1452"/>
      <c r="D27" s="1452"/>
      <c r="E27" s="1452"/>
      <c r="F27" s="1452"/>
      <c r="G27" s="1452"/>
      <c r="H27" s="1452"/>
      <c r="I27" s="1452"/>
      <c r="J27" s="1452"/>
      <c r="K27" s="1452"/>
    </row>
    <row r="28" spans="1:12" customFormat="1" ht="56.15" customHeight="1">
      <c r="A28" s="1452"/>
      <c r="B28" s="1452"/>
      <c r="C28" s="1452"/>
      <c r="D28" s="1452"/>
      <c r="E28" s="1452"/>
      <c r="F28" s="1452"/>
      <c r="G28" s="1452"/>
      <c r="H28" s="1452"/>
      <c r="I28" s="1452"/>
      <c r="J28" s="1452"/>
      <c r="K28" s="1452"/>
    </row>
    <row r="29" spans="1:12" customFormat="1" ht="18" customHeight="1">
      <c r="A29" s="426"/>
      <c r="B29" s="426"/>
      <c r="C29" s="426"/>
      <c r="D29" s="426"/>
      <c r="E29" s="426"/>
      <c r="F29" s="426"/>
      <c r="G29" s="426"/>
      <c r="H29" s="426"/>
      <c r="I29" s="426"/>
      <c r="J29" s="426"/>
      <c r="K29" s="426"/>
    </row>
    <row r="30" spans="1:12" customFormat="1" ht="26.5" customHeight="1">
      <c r="A30" s="1436" t="s">
        <v>1117</v>
      </c>
      <c r="B30" s="1436"/>
      <c r="C30" s="426"/>
      <c r="D30" s="426"/>
      <c r="E30" s="426"/>
      <c r="F30" s="426"/>
      <c r="G30" s="426"/>
      <c r="H30" s="426"/>
      <c r="I30" s="426"/>
      <c r="J30" s="426"/>
      <c r="K30" s="426"/>
    </row>
    <row r="31" spans="1:12" customFormat="1" ht="18" customHeight="1"/>
    <row r="32" spans="1:12" customFormat="1" ht="18" customHeight="1">
      <c r="A32" s="1455" t="s">
        <v>1118</v>
      </c>
      <c r="B32" s="1455"/>
      <c r="C32" s="1455"/>
      <c r="D32" s="1455"/>
      <c r="E32" s="1455"/>
      <c r="F32" s="1455"/>
      <c r="G32" s="1455"/>
      <c r="H32" s="1455"/>
      <c r="I32" s="1455"/>
      <c r="J32" s="1455"/>
      <c r="K32" s="1455"/>
      <c r="L32" s="1455"/>
    </row>
    <row r="33" spans="1:12" customFormat="1" ht="10.5" customHeight="1">
      <c r="A33" s="1455"/>
      <c r="B33" s="1455"/>
      <c r="C33" s="1455"/>
      <c r="D33" s="1455"/>
      <c r="E33" s="1455"/>
      <c r="F33" s="1455"/>
      <c r="G33" s="1455"/>
      <c r="H33" s="1455"/>
      <c r="I33" s="1455"/>
      <c r="J33" s="1455"/>
      <c r="K33" s="1455"/>
      <c r="L33" s="1455"/>
    </row>
    <row r="34" spans="1:12" customFormat="1" ht="16" customHeight="1">
      <c r="A34" s="1452" t="s">
        <v>1119</v>
      </c>
      <c r="B34" s="1452"/>
      <c r="C34" s="1452"/>
      <c r="D34" s="1452"/>
      <c r="E34" s="1452"/>
      <c r="F34" s="1452"/>
      <c r="G34" s="1452"/>
      <c r="H34" s="1452"/>
      <c r="I34" s="1452"/>
      <c r="J34" s="1452"/>
      <c r="K34" s="1452"/>
    </row>
    <row r="35" spans="1:12" customFormat="1" ht="44.5" customHeight="1">
      <c r="A35" s="1452"/>
      <c r="B35" s="1452"/>
      <c r="C35" s="1452"/>
      <c r="D35" s="1452"/>
      <c r="E35" s="1452"/>
      <c r="F35" s="1452"/>
      <c r="G35" s="1452"/>
      <c r="H35" s="1452"/>
      <c r="I35" s="1452"/>
      <c r="J35" s="1452"/>
      <c r="K35" s="1452"/>
    </row>
    <row r="36" spans="1:12" customFormat="1" ht="16" customHeight="1">
      <c r="A36" s="427"/>
      <c r="B36" s="427"/>
      <c r="C36" s="427"/>
      <c r="D36" s="427"/>
      <c r="E36" s="427"/>
      <c r="F36" s="427"/>
      <c r="G36" s="427"/>
      <c r="H36" s="427"/>
      <c r="I36" s="427"/>
      <c r="J36" s="427"/>
      <c r="K36" s="427"/>
    </row>
    <row r="37" spans="1:12" customFormat="1" ht="16" customHeight="1">
      <c r="A37" s="1455" t="s">
        <v>1120</v>
      </c>
      <c r="B37" s="1455"/>
      <c r="C37" s="1455"/>
      <c r="D37" s="1455"/>
      <c r="E37" s="1455"/>
      <c r="F37" s="1455"/>
      <c r="G37" s="1455"/>
      <c r="H37" s="1455"/>
      <c r="I37" s="1455"/>
      <c r="J37" s="1455"/>
      <c r="K37" s="1455"/>
    </row>
    <row r="38" spans="1:12" customFormat="1" ht="8.15" customHeight="1"/>
    <row r="39" spans="1:12" customFormat="1" ht="16" customHeight="1">
      <c r="A39" s="1452" t="s">
        <v>1121</v>
      </c>
      <c r="B39" s="1452"/>
      <c r="C39" s="1452"/>
      <c r="D39" s="1452"/>
      <c r="E39" s="1452"/>
      <c r="F39" s="1452"/>
      <c r="G39" s="1452"/>
      <c r="H39" s="1452"/>
      <c r="I39" s="1452"/>
      <c r="J39" s="1452"/>
      <c r="K39" s="1452"/>
    </row>
    <row r="40" spans="1:12" customFormat="1" ht="50.5" customHeight="1">
      <c r="A40" s="1452"/>
      <c r="B40" s="1452"/>
      <c r="C40" s="1452"/>
      <c r="D40" s="1452"/>
      <c r="E40" s="1452"/>
      <c r="F40" s="1452"/>
      <c r="G40" s="1452"/>
      <c r="H40" s="1452"/>
      <c r="I40" s="1452"/>
      <c r="J40" s="1452"/>
      <c r="K40" s="1452"/>
    </row>
    <row r="41" spans="1:12" customFormat="1" ht="3.65" customHeight="1">
      <c r="A41" s="1452"/>
      <c r="B41" s="1452"/>
      <c r="C41" s="1452"/>
      <c r="D41" s="1452"/>
      <c r="E41" s="1452"/>
      <c r="F41" s="1452"/>
      <c r="G41" s="1452"/>
      <c r="H41" s="1452"/>
      <c r="I41" s="1452"/>
      <c r="J41" s="1452"/>
      <c r="K41" s="1452"/>
    </row>
    <row r="42" spans="1:12" customFormat="1" ht="16" customHeight="1">
      <c r="A42" s="1452" t="s">
        <v>1122</v>
      </c>
      <c r="B42" s="1452"/>
      <c r="C42" s="1452"/>
      <c r="D42" s="1452"/>
      <c r="E42" s="1452"/>
      <c r="F42" s="1452"/>
      <c r="G42" s="1452"/>
      <c r="H42" s="1452"/>
      <c r="I42" s="1452"/>
      <c r="J42" s="1452"/>
      <c r="K42" s="1452"/>
    </row>
    <row r="43" spans="1:12" customFormat="1" ht="37" customHeight="1">
      <c r="A43" s="1452"/>
      <c r="B43" s="1452"/>
      <c r="C43" s="1452"/>
      <c r="D43" s="1452"/>
      <c r="E43" s="1452"/>
      <c r="F43" s="1452"/>
      <c r="G43" s="1452"/>
      <c r="H43" s="1452"/>
      <c r="I43" s="1452"/>
      <c r="J43" s="1452"/>
      <c r="K43" s="1452"/>
    </row>
    <row r="44" spans="1:12" customFormat="1" ht="16" customHeight="1">
      <c r="A44" s="1452"/>
      <c r="B44" s="1452"/>
      <c r="C44" s="1452"/>
      <c r="D44" s="1452"/>
      <c r="E44" s="1452"/>
      <c r="F44" s="1452"/>
      <c r="G44" s="1452"/>
      <c r="H44" s="1452"/>
      <c r="I44" s="1452"/>
      <c r="J44" s="1452"/>
      <c r="K44" s="1452"/>
    </row>
    <row r="45" spans="1:12" customFormat="1" ht="16" customHeight="1">
      <c r="A45" s="1455" t="s">
        <v>1123</v>
      </c>
      <c r="B45" s="1455"/>
      <c r="C45" s="1455"/>
      <c r="D45" s="1455"/>
      <c r="E45" s="1455"/>
      <c r="F45" s="1455"/>
      <c r="G45" s="1455"/>
      <c r="H45" s="1455"/>
      <c r="I45" s="1455"/>
      <c r="J45" s="1455"/>
      <c r="K45" s="1455"/>
    </row>
    <row r="46" spans="1:12" customFormat="1" ht="8.15" customHeight="1"/>
    <row r="47" spans="1:12" customFormat="1" ht="16" customHeight="1">
      <c r="A47" s="1452" t="s">
        <v>1124</v>
      </c>
      <c r="B47" s="1452"/>
      <c r="C47" s="1452"/>
      <c r="D47" s="1452"/>
      <c r="E47" s="1452"/>
      <c r="F47" s="1452"/>
      <c r="G47" s="1452"/>
      <c r="H47" s="1452"/>
      <c r="I47" s="1452"/>
      <c r="J47" s="1452"/>
      <c r="K47" s="1452"/>
    </row>
    <row r="48" spans="1:12" customFormat="1" ht="78" customHeight="1">
      <c r="A48" s="1452"/>
      <c r="B48" s="1452"/>
      <c r="C48" s="1452"/>
      <c r="D48" s="1452"/>
      <c r="E48" s="1452"/>
      <c r="F48" s="1452"/>
      <c r="G48" s="1452"/>
      <c r="H48" s="1452"/>
      <c r="I48" s="1452"/>
      <c r="J48" s="1452"/>
      <c r="K48" s="1452"/>
    </row>
    <row r="49" spans="1:11" customFormat="1" ht="16" customHeight="1">
      <c r="A49" s="427"/>
      <c r="B49" s="427"/>
      <c r="C49" s="427"/>
      <c r="D49" s="427"/>
      <c r="E49" s="427"/>
      <c r="F49" s="427"/>
      <c r="G49" s="427"/>
      <c r="H49" s="427"/>
      <c r="I49" s="427"/>
      <c r="J49" s="427"/>
      <c r="K49" s="427"/>
    </row>
    <row r="50" spans="1:11" customFormat="1" ht="16" customHeight="1">
      <c r="A50" s="427"/>
      <c r="B50" s="427"/>
      <c r="C50" s="427"/>
      <c r="D50" s="427"/>
      <c r="E50" s="427"/>
      <c r="F50" s="427"/>
      <c r="G50" s="427"/>
      <c r="H50" s="427"/>
      <c r="I50" s="427"/>
      <c r="J50" s="427"/>
      <c r="K50" s="427"/>
    </row>
    <row r="51" spans="1:11" customFormat="1" ht="45.65" customHeight="1">
      <c r="A51" s="455" t="s">
        <v>1329</v>
      </c>
      <c r="B51" s="1457" t="str">
        <f>IF('EFS Pre-Approval'!C14="","",'EFS Pre-Approval'!C14)</f>
        <v/>
      </c>
      <c r="C51" s="1457"/>
      <c r="D51" s="427"/>
      <c r="E51" s="427"/>
      <c r="F51" s="427"/>
      <c r="G51" s="427"/>
      <c r="H51" s="427"/>
      <c r="I51" s="427"/>
      <c r="J51" s="427"/>
      <c r="K51" s="427"/>
    </row>
    <row r="52" spans="1:11" customFormat="1" ht="34.5" customHeight="1">
      <c r="A52" s="1458" t="s">
        <v>1330</v>
      </c>
      <c r="B52" s="1458"/>
      <c r="C52" s="1458"/>
      <c r="D52" s="1458"/>
      <c r="E52" s="1458"/>
      <c r="F52" s="1458"/>
      <c r="G52" s="427"/>
      <c r="H52" s="427"/>
      <c r="I52" s="427"/>
      <c r="J52" s="427"/>
      <c r="K52" s="427"/>
    </row>
    <row r="53" spans="1:11" customFormat="1" ht="45.65" customHeight="1">
      <c r="A53" s="455"/>
      <c r="B53" s="456"/>
      <c r="C53" s="456"/>
      <c r="D53" s="427"/>
      <c r="E53" s="427"/>
      <c r="F53" s="427"/>
      <c r="G53" s="427"/>
      <c r="H53" s="427"/>
      <c r="I53" s="427"/>
      <c r="J53" s="427"/>
      <c r="K53" s="427"/>
    </row>
    <row r="54" spans="1:11" customFormat="1" ht="20.149999999999999" customHeight="1">
      <c r="A54" s="428"/>
      <c r="B54" s="457" t="s">
        <v>1331</v>
      </c>
      <c r="C54" s="427"/>
      <c r="D54" s="427"/>
      <c r="E54" s="427"/>
      <c r="F54" s="427"/>
      <c r="G54" s="427"/>
      <c r="H54" s="427"/>
      <c r="I54" s="427"/>
      <c r="J54" s="427"/>
      <c r="K54" s="427"/>
    </row>
    <row r="55" spans="1:11" customFormat="1" ht="20.149999999999999" customHeight="1">
      <c r="A55" s="428"/>
      <c r="B55" s="457"/>
      <c r="C55" s="427"/>
      <c r="D55" s="427"/>
      <c r="E55" s="427"/>
      <c r="F55" s="427"/>
      <c r="G55" s="427"/>
      <c r="H55" s="427"/>
      <c r="I55" s="427"/>
      <c r="J55" s="427"/>
      <c r="K55" s="427"/>
    </row>
    <row r="56" spans="1:11" customFormat="1" ht="20.149999999999999" customHeight="1">
      <c r="A56" s="428"/>
      <c r="B56" s="427"/>
      <c r="C56" s="427"/>
      <c r="D56" s="427"/>
      <c r="E56" s="427"/>
      <c r="F56" s="427"/>
      <c r="G56" s="427"/>
      <c r="H56" s="427"/>
      <c r="I56" s="427"/>
      <c r="J56" s="427"/>
      <c r="K56" s="427"/>
    </row>
    <row r="57" spans="1:11" customFormat="1" ht="16" customHeight="1">
      <c r="A57" s="1456"/>
      <c r="B57" s="1456"/>
      <c r="C57" s="1456"/>
      <c r="D57" s="427"/>
      <c r="E57" s="1460"/>
      <c r="F57" s="1460"/>
      <c r="G57" s="1460"/>
      <c r="H57" s="1460"/>
      <c r="I57" s="427"/>
      <c r="J57" s="1456"/>
      <c r="K57" s="1456"/>
    </row>
    <row r="58" spans="1:11" customFormat="1" ht="16" customHeight="1">
      <c r="A58" s="428" t="s">
        <v>1125</v>
      </c>
      <c r="E58" s="428" t="s">
        <v>1127</v>
      </c>
      <c r="J58" s="428" t="s">
        <v>170</v>
      </c>
    </row>
    <row r="59" spans="1:11" customFormat="1" ht="16" customHeight="1"/>
    <row r="60" spans="1:11" customFormat="1" ht="16" customHeight="1">
      <c r="A60" s="1459"/>
      <c r="B60" s="1459"/>
      <c r="C60" s="1459"/>
      <c r="E60" s="1461"/>
      <c r="F60" s="1461"/>
      <c r="G60" s="1461"/>
      <c r="H60" s="1461"/>
      <c r="J60" s="1459"/>
      <c r="K60" s="1459"/>
    </row>
    <row r="61" spans="1:11" customFormat="1" ht="16" customHeight="1">
      <c r="A61" s="428" t="s">
        <v>1126</v>
      </c>
      <c r="E61" s="428" t="s">
        <v>1127</v>
      </c>
      <c r="J61" s="428" t="s">
        <v>170</v>
      </c>
    </row>
    <row r="62" spans="1:11" customFormat="1" ht="16" customHeight="1"/>
    <row r="63" spans="1:11" s="77" customFormat="1" ht="16.5" customHeight="1">
      <c r="A63" s="429" t="s">
        <v>165</v>
      </c>
      <c r="B63" s="482" t="str">
        <f>Development!$A$2</f>
        <v>1.0</v>
      </c>
      <c r="C63" s="430"/>
      <c r="J63" s="429" t="s">
        <v>167</v>
      </c>
      <c r="K63" s="430" t="str">
        <f>Development!$A$4</f>
        <v>01.01.2025</v>
      </c>
    </row>
    <row r="105" ht="16.5" customHeight="1"/>
    <row r="106" ht="16.5" customHeight="1"/>
  </sheetData>
  <sheetProtection algorithmName="SHA-512" hashValue="IosHzPScbU5titw6mGG4k8AVc3fDWoLT8q9HK4FPUSDzhksGc0Efv3DaIrpAtR9xoxInTaH0x8xITUjJJBy13A==" saltValue="BBDbBLKta+BVIglVVEv6iA==" spinCount="100000" sheet="1" objects="1" scenarios="1"/>
  <mergeCells count="81">
    <mergeCell ref="A60:C60"/>
    <mergeCell ref="E57:H57"/>
    <mergeCell ref="E60:H60"/>
    <mergeCell ref="J57:K57"/>
    <mergeCell ref="J60:K60"/>
    <mergeCell ref="A45:K45"/>
    <mergeCell ref="A47:K48"/>
    <mergeCell ref="A57:C57"/>
    <mergeCell ref="A39:K40"/>
    <mergeCell ref="A41:K41"/>
    <mergeCell ref="A42:K43"/>
    <mergeCell ref="A44:K44"/>
    <mergeCell ref="B51:C51"/>
    <mergeCell ref="A52:F52"/>
    <mergeCell ref="A32:L32"/>
    <mergeCell ref="A34:K35"/>
    <mergeCell ref="A37:K37"/>
    <mergeCell ref="A33:L33"/>
    <mergeCell ref="A24:K25"/>
    <mergeCell ref="A27:K28"/>
    <mergeCell ref="A30:B30"/>
    <mergeCell ref="EB1:EK1"/>
    <mergeCell ref="V1:AE1"/>
    <mergeCell ref="AF1:AO1"/>
    <mergeCell ref="AP1:AY1"/>
    <mergeCell ref="AZ1:BI1"/>
    <mergeCell ref="BJ1:BS1"/>
    <mergeCell ref="BT1:CC1"/>
    <mergeCell ref="CD1:CM1"/>
    <mergeCell ref="CN1:CW1"/>
    <mergeCell ref="CX1:DG1"/>
    <mergeCell ref="DH1:DQ1"/>
    <mergeCell ref="DR1:EA1"/>
    <mergeCell ref="IR1:IV1"/>
    <mergeCell ref="EL1:EU1"/>
    <mergeCell ref="EV1:FE1"/>
    <mergeCell ref="FF1:FO1"/>
    <mergeCell ref="FP1:FY1"/>
    <mergeCell ref="FZ1:GI1"/>
    <mergeCell ref="GJ1:GS1"/>
    <mergeCell ref="GT1:HC1"/>
    <mergeCell ref="HD1:HM1"/>
    <mergeCell ref="HN1:HW1"/>
    <mergeCell ref="HX1:IG1"/>
    <mergeCell ref="IH1:IQ1"/>
    <mergeCell ref="CN3:CW3"/>
    <mergeCell ref="CX3:DG3"/>
    <mergeCell ref="DH3:DQ3"/>
    <mergeCell ref="DR3:EA3"/>
    <mergeCell ref="V3:AE3"/>
    <mergeCell ref="AF3:AO3"/>
    <mergeCell ref="AP3:AY3"/>
    <mergeCell ref="AZ3:BI3"/>
    <mergeCell ref="BJ3:BS3"/>
    <mergeCell ref="IR3:IV3"/>
    <mergeCell ref="A7:L7"/>
    <mergeCell ref="GJ3:GS3"/>
    <mergeCell ref="GT3:HC3"/>
    <mergeCell ref="HD3:HM3"/>
    <mergeCell ref="HN3:HW3"/>
    <mergeCell ref="HX3:IG3"/>
    <mergeCell ref="IH3:IQ3"/>
    <mergeCell ref="EB3:EK3"/>
    <mergeCell ref="EL3:EU3"/>
    <mergeCell ref="EV3:FE3"/>
    <mergeCell ref="FF3:FO3"/>
    <mergeCell ref="FP3:FY3"/>
    <mergeCell ref="FZ3:GI3"/>
    <mergeCell ref="BT3:CC3"/>
    <mergeCell ref="CD3:CM3"/>
    <mergeCell ref="A13:K14"/>
    <mergeCell ref="A17:L17"/>
    <mergeCell ref="A22:L22"/>
    <mergeCell ref="A15:B15"/>
    <mergeCell ref="A19:K20"/>
    <mergeCell ref="A21:K21"/>
    <mergeCell ref="A5:L6"/>
    <mergeCell ref="A8:K8"/>
    <mergeCell ref="A9:K9"/>
    <mergeCell ref="A10:K10"/>
    <mergeCell ref="A11:K11"/>
  </mergeCells>
  <printOptions horizontalCentered="1"/>
  <pageMargins left="0.2" right="0.2" top="0.75" bottom="0.75" header="0.3" footer="0.3"/>
  <pageSetup scale="47" orientation="portrait" r:id="rId1"/>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3777" r:id="rId4" name="Check Box 1">
              <controlPr defaultSize="0" autoFill="0" autoLine="0" autoPict="0">
                <anchor moveWithCells="1">
                  <from>
                    <xdr:col>0</xdr:col>
                    <xdr:colOff>0</xdr:colOff>
                    <xdr:row>48</xdr:row>
                    <xdr:rowOff>165100</xdr:rowOff>
                  </from>
                  <to>
                    <xdr:col>4</xdr:col>
                    <xdr:colOff>304800</xdr:colOff>
                    <xdr:row>49</xdr:row>
                    <xdr:rowOff>190500</xdr:rowOff>
                  </to>
                </anchor>
              </controlPr>
            </control>
          </mc:Choice>
        </mc:AlternateContent>
        <mc:AlternateContent xmlns:mc="http://schemas.openxmlformats.org/markup-compatibility/2006">
          <mc:Choice Requires="x14">
            <control shapeId="203778" r:id="rId5" name="Option Button 2">
              <controlPr defaultSize="0" autoFill="0" autoLine="0" autoPict="0">
                <anchor moveWithCells="1">
                  <from>
                    <xdr:col>0</xdr:col>
                    <xdr:colOff>1289050</xdr:colOff>
                    <xdr:row>52</xdr:row>
                    <xdr:rowOff>88900</xdr:rowOff>
                  </from>
                  <to>
                    <xdr:col>4</xdr:col>
                    <xdr:colOff>304800</xdr:colOff>
                    <xdr:row>52</xdr:row>
                    <xdr:rowOff>393700</xdr:rowOff>
                  </to>
                </anchor>
              </controlPr>
            </control>
          </mc:Choice>
        </mc:AlternateContent>
        <mc:AlternateContent xmlns:mc="http://schemas.openxmlformats.org/markup-compatibility/2006">
          <mc:Choice Requires="x14">
            <control shapeId="203779" r:id="rId6" name="Option Button 3">
              <controlPr defaultSize="0" autoFill="0" autoLine="0" autoPict="0">
                <anchor moveWithCells="1">
                  <from>
                    <xdr:col>1</xdr:col>
                    <xdr:colOff>12700</xdr:colOff>
                    <xdr:row>52</xdr:row>
                    <xdr:rowOff>381000</xdr:rowOff>
                  </from>
                  <to>
                    <xdr:col>4</xdr:col>
                    <xdr:colOff>88900</xdr:colOff>
                    <xdr:row>53</xdr:row>
                    <xdr:rowOff>88900</xdr:rowOff>
                  </to>
                </anchor>
              </controlPr>
            </control>
          </mc:Choice>
        </mc:AlternateContent>
        <mc:AlternateContent xmlns:mc="http://schemas.openxmlformats.org/markup-compatibility/2006">
          <mc:Choice Requires="x14">
            <control shapeId="203780" r:id="rId7" name="Option Button 4">
              <controlPr defaultSize="0" autoFill="0" autoLine="0" autoPict="0">
                <anchor moveWithCells="1">
                  <from>
                    <xdr:col>4</xdr:col>
                    <xdr:colOff>241300</xdr:colOff>
                    <xdr:row>52</xdr:row>
                    <xdr:rowOff>133350</xdr:rowOff>
                  </from>
                  <to>
                    <xdr:col>8</xdr:col>
                    <xdr:colOff>114300</xdr:colOff>
                    <xdr:row>52</xdr:row>
                    <xdr:rowOff>336550</xdr:rowOff>
                  </to>
                </anchor>
              </controlPr>
            </control>
          </mc:Choice>
        </mc:AlternateContent>
      </controls>
    </mc:Choice>
  </mc:AlternateConten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0000"/>
  </sheetPr>
  <dimension ref="A1:BR144"/>
  <sheetViews>
    <sheetView topLeftCell="A120" zoomScale="71" zoomScaleNormal="53" workbookViewId="0">
      <selection activeCell="C142" sqref="C142"/>
    </sheetView>
  </sheetViews>
  <sheetFormatPr defaultColWidth="0" defaultRowHeight="14.5"/>
  <cols>
    <col min="1" max="1" width="15.7265625" style="100" customWidth="1"/>
    <col min="2" max="2" width="32.26953125" style="100" bestFit="1" customWidth="1"/>
    <col min="3" max="3" width="14.81640625" style="100" customWidth="1"/>
    <col min="4" max="4" width="46.1796875" style="100" customWidth="1"/>
    <col min="5" max="5" width="21.7265625" style="100" customWidth="1"/>
    <col min="6" max="6" width="14.7265625" style="100" customWidth="1"/>
    <col min="7" max="7" width="14.1796875" style="100" bestFit="1" customWidth="1"/>
    <col min="8" max="8" width="22.1796875" style="100" customWidth="1"/>
    <col min="9" max="9" width="17.1796875" style="100" customWidth="1"/>
    <col min="10" max="10" width="20.1796875" style="100" customWidth="1"/>
    <col min="11" max="11" width="22.1796875" style="100" customWidth="1"/>
    <col min="12" max="12" width="14.1796875" style="100" bestFit="1" customWidth="1"/>
    <col min="13" max="13" width="19.81640625" style="100" customWidth="1"/>
    <col min="14" max="14" width="18" style="100" customWidth="1"/>
    <col min="15" max="15" width="12.453125" style="100" customWidth="1"/>
    <col min="16" max="16" width="12.7265625" style="100" bestFit="1" customWidth="1"/>
    <col min="17" max="17" width="11.453125" style="100" bestFit="1" customWidth="1"/>
    <col min="18" max="18" width="14.1796875" style="100" bestFit="1" customWidth="1"/>
    <col min="19" max="19" width="10.7265625" style="100" bestFit="1" customWidth="1"/>
    <col min="20" max="20" width="22.1796875" style="100" customWidth="1"/>
    <col min="21" max="21" width="12.7265625" style="100" customWidth="1"/>
    <col min="22" max="22" width="11.453125" style="100" customWidth="1"/>
    <col min="23" max="23" width="10.81640625" style="100" customWidth="1"/>
    <col min="24" max="24" width="12.54296875" style="100" customWidth="1"/>
    <col min="25" max="25" width="13.1796875" style="100" customWidth="1"/>
    <col min="26" max="26" width="13.26953125" style="100" customWidth="1"/>
    <col min="27" max="27" width="14.453125" style="100" customWidth="1"/>
    <col min="28" max="28" width="14.54296875" style="100" customWidth="1"/>
    <col min="29" max="29" width="14.26953125" style="100" customWidth="1"/>
    <col min="30" max="30" width="16.453125" style="100" customWidth="1"/>
    <col min="31" max="31" width="16.7265625" style="100" customWidth="1"/>
    <col min="32" max="32" width="18" style="100" customWidth="1"/>
    <col min="33" max="33" width="21.7265625" style="100" customWidth="1"/>
    <col min="34" max="34" width="19.26953125" style="100" customWidth="1"/>
    <col min="35" max="35" width="18.26953125" style="100" customWidth="1"/>
    <col min="36" max="36" width="19.81640625" style="100" customWidth="1"/>
    <col min="37" max="37" width="19.1796875" style="100" customWidth="1"/>
    <col min="38" max="38" width="21.54296875" style="100" customWidth="1"/>
    <col min="39" max="39" width="18.81640625" style="100" customWidth="1"/>
    <col min="40" max="40" width="14.1796875" style="100" customWidth="1"/>
    <col min="41" max="41" width="14.453125" style="100" customWidth="1"/>
    <col min="42" max="42" width="22.453125" style="100" customWidth="1"/>
    <col min="43" max="44" width="13.453125" style="100" customWidth="1"/>
    <col min="45" max="45" width="13.1796875" style="100" customWidth="1"/>
    <col min="46" max="46" width="10.81640625" style="100" customWidth="1"/>
    <col min="47" max="47" width="14.81640625" style="100" customWidth="1"/>
    <col min="48" max="48" width="13" style="100" customWidth="1"/>
    <col min="49" max="49" width="12.26953125" style="100" bestFit="1" customWidth="1"/>
    <col min="50" max="50" width="13.54296875" style="100" bestFit="1" customWidth="1"/>
    <col min="51" max="51" width="12.453125" style="100" customWidth="1"/>
    <col min="52" max="52" width="15.453125" style="100" customWidth="1"/>
    <col min="53" max="53" width="14.453125" style="100" customWidth="1"/>
    <col min="54" max="55" width="10.7265625" style="100" bestFit="1" customWidth="1"/>
    <col min="56" max="56" width="17.54296875" style="100" bestFit="1" customWidth="1"/>
    <col min="57" max="57" width="18.54296875" style="100" bestFit="1" customWidth="1"/>
    <col min="58" max="58" width="21.453125" style="100" bestFit="1" customWidth="1"/>
    <col min="59" max="59" width="23.54296875" style="100" bestFit="1" customWidth="1"/>
    <col min="60" max="60" width="23.453125" style="100" bestFit="1" customWidth="1"/>
    <col min="61" max="61" width="18.453125" style="100" customWidth="1"/>
    <col min="62" max="62" width="19.7265625" style="100" bestFit="1" customWidth="1"/>
    <col min="63" max="63" width="14.26953125" style="100" customWidth="1"/>
    <col min="64" max="64" width="27.81640625" style="100" bestFit="1" customWidth="1"/>
    <col min="65" max="65" width="27.26953125" style="100" bestFit="1" customWidth="1"/>
    <col min="66" max="68" width="26.7265625" style="100" customWidth="1"/>
    <col min="69" max="69" width="25.7265625" style="100" customWidth="1"/>
    <col min="70" max="70" width="23.7265625" style="100" hidden="1" customWidth="1"/>
    <col min="71" max="16384" width="8.7265625" style="100" hidden="1"/>
  </cols>
  <sheetData>
    <row r="1" hidden="1"/>
    <row r="2" ht="5.15" hidden="1" customHeight="1"/>
    <row r="3" ht="5.15" hidden="1" customHeight="1"/>
    <row r="4" ht="5.15" hidden="1" customHeight="1"/>
    <row r="5" ht="5.15" hidden="1" customHeight="1"/>
    <row r="6" ht="5.15" hidden="1" customHeight="1"/>
    <row r="7" ht="5.15" hidden="1" customHeight="1"/>
    <row r="8" ht="5.15" hidden="1" customHeight="1"/>
    <row r="9" ht="5.15" hidden="1" customHeight="1"/>
    <row r="10" ht="5.15" hidden="1" customHeight="1"/>
    <row r="11" ht="5.15" hidden="1" customHeight="1"/>
    <row r="12" ht="5.15" hidden="1" customHeight="1"/>
    <row r="13" ht="5.15" hidden="1" customHeight="1"/>
    <row r="14" ht="5.15" hidden="1" customHeight="1"/>
    <row r="15" ht="5.15" hidden="1" customHeight="1"/>
    <row r="16" ht="5.15" hidden="1" customHeight="1"/>
    <row r="17" spans="1:70" ht="5.15" hidden="1" customHeight="1"/>
    <row r="18" spans="1:70" ht="5.15" hidden="1" customHeight="1"/>
    <row r="19" spans="1:70" ht="5.15" hidden="1" customHeight="1"/>
    <row r="20" spans="1:70" ht="5.15" hidden="1" customHeight="1"/>
    <row r="21" spans="1:70" ht="5.15" hidden="1" customHeight="1"/>
    <row r="22" spans="1:70" ht="5.15" hidden="1" customHeight="1"/>
    <row r="23" spans="1:70" ht="5.15" hidden="1" customHeight="1"/>
    <row r="24" spans="1:70" ht="14.15" hidden="1" customHeight="1">
      <c r="A24" s="100" t="s">
        <v>618</v>
      </c>
    </row>
    <row r="25" spans="1:70" ht="14.15" hidden="1" customHeight="1">
      <c r="C25" s="760" t="s">
        <v>310</v>
      </c>
      <c r="D25" s="760"/>
      <c r="E25" s="1464" t="s">
        <v>303</v>
      </c>
      <c r="F25" s="1464"/>
      <c r="G25" s="1464"/>
      <c r="H25" s="761"/>
      <c r="I25" s="1465" t="s">
        <v>388</v>
      </c>
      <c r="J25" s="762"/>
      <c r="K25" s="761" t="s">
        <v>309</v>
      </c>
      <c r="L25" s="761" t="s">
        <v>389</v>
      </c>
      <c r="M25" s="1465" t="s">
        <v>706</v>
      </c>
      <c r="N25" s="1464" t="s">
        <v>510</v>
      </c>
      <c r="O25" s="1464"/>
      <c r="P25" s="1464"/>
      <c r="Q25" s="1464" t="s">
        <v>12</v>
      </c>
      <c r="R25" s="1464"/>
      <c r="S25" s="1464"/>
      <c r="T25" s="1464" t="s">
        <v>13</v>
      </c>
      <c r="U25" s="1464"/>
      <c r="V25" s="1464" t="s">
        <v>192</v>
      </c>
      <c r="W25" s="1464"/>
      <c r="X25" s="1464" t="s">
        <v>197</v>
      </c>
      <c r="Y25" s="1464"/>
      <c r="Z25" s="1464"/>
      <c r="AC25" s="1464" t="s">
        <v>195</v>
      </c>
      <c r="AD25" s="1464"/>
      <c r="AE25" s="1464"/>
      <c r="AF25" s="1464" t="s">
        <v>177</v>
      </c>
      <c r="AG25" s="1464"/>
      <c r="AI25" s="1464" t="s">
        <v>126</v>
      </c>
      <c r="AJ25" s="1464"/>
      <c r="AK25" s="1464"/>
      <c r="AL25" s="1464"/>
      <c r="AM25" s="1464" t="s">
        <v>113</v>
      </c>
      <c r="AN25" s="1464"/>
      <c r="AO25" s="1464"/>
      <c r="AQ25" s="1464" t="s">
        <v>198</v>
      </c>
      <c r="AR25" s="1464"/>
      <c r="AS25" s="1464"/>
      <c r="AT25" s="1464" t="s">
        <v>119</v>
      </c>
      <c r="AU25" s="1464"/>
      <c r="AV25" s="1464"/>
      <c r="AW25" s="1464"/>
      <c r="AY25" s="1469" t="s">
        <v>218</v>
      </c>
      <c r="AZ25" s="1465" t="s">
        <v>312</v>
      </c>
      <c r="BB25" s="1466" t="s">
        <v>571</v>
      </c>
      <c r="BC25" s="1465" t="s">
        <v>572</v>
      </c>
      <c r="BE25" s="1464" t="s">
        <v>477</v>
      </c>
      <c r="BF25" s="1464"/>
      <c r="BG25" s="1464"/>
      <c r="BH25" s="1464"/>
      <c r="BI25" s="1464"/>
      <c r="BJ25" s="1464"/>
      <c r="BK25" s="1464"/>
      <c r="BL25" s="1464"/>
      <c r="BM25" s="1464"/>
      <c r="BN25" s="1464"/>
      <c r="BO25" s="1464"/>
      <c r="BP25" s="1464"/>
      <c r="BQ25" s="1464"/>
      <c r="BR25" s="1464"/>
    </row>
    <row r="26" spans="1:70" ht="14.15" hidden="1" customHeight="1">
      <c r="A26" s="100" t="s">
        <v>196</v>
      </c>
      <c r="C26" s="760" t="s">
        <v>311</v>
      </c>
      <c r="D26" s="760"/>
      <c r="E26" s="760" t="s">
        <v>13</v>
      </c>
      <c r="F26" s="760" t="s">
        <v>12</v>
      </c>
      <c r="G26" s="760" t="s">
        <v>14</v>
      </c>
      <c r="H26" s="760"/>
      <c r="I26" s="1465"/>
      <c r="J26" s="762"/>
      <c r="K26" s="760"/>
      <c r="L26" s="760"/>
      <c r="M26" s="1465"/>
      <c r="N26" s="760" t="s">
        <v>12</v>
      </c>
      <c r="O26" s="760" t="s">
        <v>13</v>
      </c>
      <c r="P26" s="760" t="s">
        <v>14</v>
      </c>
      <c r="Q26" s="760" t="s">
        <v>29</v>
      </c>
      <c r="R26" s="760" t="s">
        <v>30</v>
      </c>
      <c r="S26" s="760" t="s">
        <v>205</v>
      </c>
      <c r="T26" s="760" t="s">
        <v>29</v>
      </c>
      <c r="U26" s="760" t="s">
        <v>30</v>
      </c>
      <c r="V26" s="760" t="s">
        <v>29</v>
      </c>
      <c r="W26" s="760" t="s">
        <v>30</v>
      </c>
      <c r="X26" s="760" t="s">
        <v>12</v>
      </c>
      <c r="Y26" s="760" t="s">
        <v>13</v>
      </c>
      <c r="Z26" s="760" t="s">
        <v>192</v>
      </c>
      <c r="AC26" s="760" t="s">
        <v>1316</v>
      </c>
      <c r="AD26" s="760" t="s">
        <v>194</v>
      </c>
      <c r="AE26" s="760" t="s">
        <v>193</v>
      </c>
      <c r="AF26" s="1464" t="s">
        <v>281</v>
      </c>
      <c r="AG26" s="1464"/>
      <c r="AI26" s="1464" t="s">
        <v>314</v>
      </c>
      <c r="AJ26" s="1464"/>
      <c r="AK26" s="1464" t="s">
        <v>315</v>
      </c>
      <c r="AL26" s="1464"/>
      <c r="AM26" s="760" t="s">
        <v>314</v>
      </c>
      <c r="AN26" s="760" t="s">
        <v>315</v>
      </c>
      <c r="AO26" s="760" t="s">
        <v>316</v>
      </c>
      <c r="AP26" s="761"/>
      <c r="AQ26" s="761" t="s">
        <v>302</v>
      </c>
      <c r="AR26" s="761" t="s">
        <v>203</v>
      </c>
      <c r="AS26" s="761" t="s">
        <v>204</v>
      </c>
      <c r="AT26" s="761" t="s">
        <v>53</v>
      </c>
      <c r="AU26" s="761" t="s">
        <v>52</v>
      </c>
      <c r="AV26" s="761" t="s">
        <v>1418</v>
      </c>
      <c r="AW26" s="761" t="s">
        <v>1419</v>
      </c>
      <c r="AY26" s="1469"/>
      <c r="AZ26" s="1465"/>
      <c r="BB26" s="1466"/>
      <c r="BC26" s="1465"/>
      <c r="BE26" s="761" t="s">
        <v>470</v>
      </c>
      <c r="BF26" s="761" t="s">
        <v>472</v>
      </c>
      <c r="BG26" s="761" t="s">
        <v>471</v>
      </c>
      <c r="BH26" s="761" t="s">
        <v>483</v>
      </c>
      <c r="BI26" s="761" t="s">
        <v>473</v>
      </c>
      <c r="BJ26" s="761" t="s">
        <v>474</v>
      </c>
      <c r="BK26" s="761" t="s">
        <v>475</v>
      </c>
      <c r="BL26" s="761" t="s">
        <v>476</v>
      </c>
      <c r="BM26" s="764" t="s">
        <v>480</v>
      </c>
      <c r="BN26" s="764" t="s">
        <v>479</v>
      </c>
      <c r="BO26" s="764" t="s">
        <v>481</v>
      </c>
      <c r="BP26" s="761" t="s">
        <v>573</v>
      </c>
      <c r="BQ26" s="761" t="s">
        <v>574</v>
      </c>
      <c r="BR26" s="761" t="s">
        <v>482</v>
      </c>
    </row>
    <row r="27" spans="1:70" ht="14.15" hidden="1" customHeight="1">
      <c r="A27" s="100">
        <v>1</v>
      </c>
      <c r="C27" s="748" t="e">
        <f>IF(OR(#REF!="Ducted ccASHP",#REF!="Ductless Mini Split - ccASHP"),"Cold Climate","")</f>
        <v>#REF!</v>
      </c>
      <c r="D27" s="748"/>
      <c r="E27" s="748" t="e">
        <f>IF(OR(#REF!="",#REF!="",NOT(ISNUMBER(#REF!))),IF(Qualifying_Index!AY27="PTHP",References!#REF!,IF(ISERROR(SEARCH("HP",#REF!,1)),References!#REF!,References!#REF!)),#REF!)</f>
        <v>#REF!</v>
      </c>
      <c r="F27" s="749" t="e">
        <f>IF(OR(#REF!="",#REF!="",NOT(ISNUMBER(#REF!))),IF(Qualifying_Index!AY27="PTHP",References!$BE$12,IF(ISERROR(SEARCH("HP",#REF!,1)),References!$BE$10,References!$BE$9)),#REF!)</f>
        <v>#REF!</v>
      </c>
      <c r="G27" s="749" t="e">
        <f>IF(AND(OR(References!#REF!="Electric",References!#REF!="Air Source HP",#REF!="Air Source HP"),#REF!&lt;&gt;""),IF(OR(#REF!="",NOT(ISNUMBER(#REF!))),IF(Qualifying_Index!AY27="PTHP",References!$AD$19,References!$AD$21),#REF!),0)</f>
        <v>#REF!</v>
      </c>
      <c r="H27" s="749"/>
      <c r="I27" s="748" t="e">
        <f>IF(#REF!="","",IF(OR(WholeHouse_TF=FALSE,References!AC101=TRUE),References!#REF!,1))</f>
        <v>#REF!</v>
      </c>
      <c r="J27" s="748"/>
      <c r="K27" s="748" t="e">
        <f>IF(AND(References!$AC$101=TRUE,OR(AY27&lt;&gt;"PTHP",AY27&lt;&gt;"Ductless",AY27&lt;&gt;"CAC")),#REF!&amp;" EH"&amp;" "&amp;#REF!,L27&amp;" "&amp;#REF!&amp;" "&amp;#REF!&amp;M27)</f>
        <v>#REF!</v>
      </c>
      <c r="L27" s="748" t="e">
        <f>IF(References!#REF!=TRUE,"Whole House",IF(RIGHT(References!#REF!,2)="HP","Retrofit","New"))</f>
        <v>#REF!</v>
      </c>
      <c r="M27" s="748" t="e">
        <f>IF(References!#REF!&lt;&gt;TRUE,"",IF(References!#REF!=2,1,IF(AND(#REF!&lt;&gt;"Central Air Conditioner",#REF!&lt;&gt;"Ducted Air Source HP",References!#REF!="Oil"),2,3)))</f>
        <v>#REF!</v>
      </c>
      <c r="N27" s="544" t="e">
        <f>IF(#REF!="","",#REF!)</f>
        <v>#REF!</v>
      </c>
      <c r="O27" s="544" t="e">
        <f>IF(#REF!="","",#REF!)</f>
        <v>#REF!</v>
      </c>
      <c r="P27" s="544" t="e">
        <f>IF(#REF!="","",#REF!)</f>
        <v>#REF!</v>
      </c>
      <c r="Q27" s="100" t="e">
        <f>IF(#REF!="","",IF(References!$AC$101=TRUE,INDEX(References!#REF!,MATCH(#REF!&amp;" EH",References!#REF!,0)),INDEX(References!#REF!,MATCH(#REF!,References!#REF!,0))))</f>
        <v>#REF!</v>
      </c>
      <c r="R27" s="100" t="e">
        <f>IF(#REF!="","",IF(References!$AC$101=TRUE,INDEX(References!#REF!,MATCH(#REF!&amp;" EH",References!#REF!,0)),INDEX(References!#REF!,MATCH(#REF!,References!#REF!,0))))</f>
        <v>#REF!</v>
      </c>
      <c r="S27" s="100" t="e">
        <f>IF(#REF!="","",IF(References!$AC$101=TRUE,INDEX(References!#REF!,MATCH(#REF!&amp;" EH",References!#REF!,0)),INDEX(References!#REF!,MATCH(#REF!,References!#REF!,0))))</f>
        <v>#REF!</v>
      </c>
      <c r="T27" s="100" t="e">
        <f>IF(#REF!="","",INDEX(References!#REF!,MATCH(#REF!,References!#REF!,0)))</f>
        <v>#REF!</v>
      </c>
      <c r="U27" s="100" t="e">
        <f>IF(#REF!="","",INDEX(References!#REF!,MATCH(#REF!,References!#REF!,0)))</f>
        <v>#REF!</v>
      </c>
      <c r="V27" s="100" t="e">
        <f>IF(#REF!="","",IF(References!$AC$101=TRUE,INDEX(References!$J$26:$J$26,MATCH(#REF!&amp;" EH",References!#REF!,0)),INDEX(References!$J$26:$J$26,MATCH(#REF!,References!#REF!,0))))</f>
        <v>#REF!</v>
      </c>
      <c r="W27" s="100" t="e">
        <f>IF(#REF!="","",IF(References!$AC$101=TRUE,INDEX(References!#REF!,MATCH(#REF!&amp;" EH",References!#REF!,0)),INDEX(References!#REF!,MATCH(#REF!,References!#REF!,0))))</f>
        <v>#REF!</v>
      </c>
      <c r="X27" s="100" t="e">
        <f t="shared" ref="X27:X36" si="0">IF(OR(N27="",AY27="PTHP"),"",IF(AND(N27&lt;Q27,N27&lt;R27),"DNQ",IF(N27&gt;=S27,"Tier III",IF(N27&gt;=R27,"Tier II","Tier I"))))</f>
        <v>#REF!</v>
      </c>
      <c r="Y27" s="100" t="e">
        <f t="shared" ref="Y27:Y36" si="1">IF(O27="","",IF(AND(AY27="PTHP",O27&lt;T27),"DNQ",X27))</f>
        <v>#REF!</v>
      </c>
      <c r="Z27" s="100" t="e">
        <f>IF(#REF!="","",IF(V27=0,"",IF(AND(P27&lt;V27,P27&lt;W27),"DNQ",IF(P27&gt;=W27,"Tier II","Tier I"))))</f>
        <v>#REF!</v>
      </c>
      <c r="AB27" s="565" t="e">
        <f>IF(OR(X27="DNQ",Y27="DNQ",Z27="DNQ",#REF!="FAIL"),"DNQ",IF(OR(X27="Tier I",Z27="Tier I"),"Tier I",IF(OR(X27="Tier II",Z27="Tier II"),"Tier II","Tier III")))</f>
        <v>#REF!</v>
      </c>
      <c r="AC27" s="100" t="e">
        <f>References!#REF!</f>
        <v>#REF!</v>
      </c>
      <c r="AD27" s="100" t="e">
        <f>IF(#REF!="","",IF(AB27="DNQ","DNQ",INDEX(IF(AC27="Income Eligible ",References!#REF!,References!#REF!),MATCH(K27,References!#REF!,0))*(#REF!/12000)))</f>
        <v>#REF!</v>
      </c>
      <c r="AE27" s="100" t="e">
        <f>IF(#REF!="","",IF(AD27="DNQ",0,INDEX(References!#REF!,MATCH(Qualifying_Index!K27,References!#REF!,0))))</f>
        <v>#REF!</v>
      </c>
      <c r="AF27" s="100" t="e">
        <f t="shared" ref="AF27:AF36" si="2">IF(AE27&gt;0,1,2)</f>
        <v>#REF!</v>
      </c>
      <c r="AG27" s="100" t="e">
        <f>AE27</f>
        <v>#REF!</v>
      </c>
      <c r="AI27" s="100" t="e">
        <f>((#REF!*0.65))</f>
        <v>#REF!</v>
      </c>
      <c r="AJ27" s="100" t="e">
        <f>((#REF!*1.35))</f>
        <v>#REF!</v>
      </c>
      <c r="AK27" s="100" t="e">
        <f>IF(AND(References!#REF!=TRUE,References!$AC$101=FALSE),(#REF!*1),#REF!*0.65)</f>
        <v>#REF!</v>
      </c>
      <c r="AL27" s="100" t="e">
        <f>IF(AND(References!#REF!=TRUE,References!$AC$101=FALSE),(#REF!*1.3),#REF!*1.35)</f>
        <v>#REF!</v>
      </c>
      <c r="AM27" s="100" t="e">
        <f>IF(AND(#REF!&gt;=Qualifying_Index!AI27,#REF!&lt;=Qualifying_Index!AJ27),"PASS","FAIL")</f>
        <v>#REF!</v>
      </c>
      <c r="AN27" s="565" t="e">
        <f>IF(OR(AK27=0,AL27=0),"FAIL",IF(AND(IF(AND(References!#REF!=TRUE,References!$AC$101=FALSE),#REF!,#REF!)&gt;=AK27,IF(References!#REF!=TRUE,#REF!,#REF!)&lt;=AL27),"PASS","FAIL"))</f>
        <v>#REF!</v>
      </c>
      <c r="AO27" s="565" t="e">
        <f>IF(References!#REF!=TRUE,IF(AND(#REF!="",#REF!=""),"Missing Info",IF(AN27="PASS","PASS","FAIL")),IF(AND(#REF!="",#REF!="",LEFT(#REF!,6)="Ducted"),"Missing Info",IF(OR(AM27="PASS",AN27="PASS",LEFT(#REF!,6)&lt;&gt;"Ducted"),"PASS","FAIL")))</f>
        <v>#REF!</v>
      </c>
      <c r="AQ27" s="100" t="e">
        <f>IF(OR(#REF!="",#REF!="",#REF!="",#REF!="",#REF!="",#REF!="",#REF!="",#REF!="",#REF!="",#REF!=""),"Missing Info","")</f>
        <v>#REF!</v>
      </c>
      <c r="AR27" s="100" t="e">
        <f>IF(AND(AZ27=1,#REF!=""),"Missing Info",IF(AY27="PTHP",AQ27,IF(OR(#REF!="",#REF!="",#REF!="",#REF!="",#REF!="",#REF!="",#REF!="",#REF!="",#REF!="",AO27="Missing Info"),"Missing Info","")))</f>
        <v>#REF!</v>
      </c>
      <c r="AS27" s="100" t="e">
        <f>IF(AND(AZ27=1,#REF!=""),"Missing Info",IF(AY27="PTHP",AQ27,IF(OR(#REF!="",#REF!="",#REF!="",#REF!="",#REF!="",#REF!="",#REF!="",#REF!=""),"Missing Info","")))</f>
        <v>#REF!</v>
      </c>
      <c r="AT27" s="765" t="e">
        <f>IF(OR(#REF!="",#REF!=""),"",IF(OR(#REF!="Ducted ASHP",#REF!="Ducted ccASHP"),#REF!/12000*(12/#REF!)*kW_CA,0))</f>
        <v>#REF!</v>
      </c>
      <c r="AU27" s="765" t="e">
        <f>IF(#REF!="","",IF(OR(#REF!=""),"",#REF!*(12/#REF!)*kW_RS))</f>
        <v>#REF!</v>
      </c>
      <c r="AV27" s="766" t="e">
        <f>IF(OR(#REF!="",#REF!="",#REF!=""),"",IF(OR(#REF!="Ducted ASHP",#REF!="Ducted ccASHP"),#REF!/12000*(12/#REF!*FLH_Cool)*QI_kWh,0))</f>
        <v>#REF!</v>
      </c>
      <c r="AW27" s="766" t="e">
        <f>IF(OR(#REF!="",#REF!="",#REF!=""),"",IF(OR(#REF!="Ducted ASHP",#REF!="Ducted ccASHP"),#REF!/12000*(12/#REF!*FLH_Heat)*QI_kWh,0))</f>
        <v>#REF!</v>
      </c>
      <c r="AY27" s="100" t="e">
        <f>IF(#REF!="","",INDEX(References!#REF!,MATCH(#REF!,Equipment_Type,0)))</f>
        <v>#REF!</v>
      </c>
      <c r="AZ27" s="100" t="e">
        <f>IF(#REF!="","",INDEX(References!#REF!,MATCH(#REF!,Equipment_Type,0)))</f>
        <v>#REF!</v>
      </c>
      <c r="BB27" s="100" t="e">
        <f>IF(WholeHouse_TF=FALSE,References!#REF!,IF(References!#REF!="New Construction",FLH_Cool,IF(References!#REF!="",0,References!#REF!)))</f>
        <v>#REF!</v>
      </c>
      <c r="BC27" s="100" t="e">
        <f>IF(WholeHouse_TF=FALSE,References!#REF!,IF(References!#REF!="New Construction",FLH_Heat,IF(References!#REF!="",0,References!#REF!)))</f>
        <v>#REF!</v>
      </c>
      <c r="BE27" s="765" t="e">
        <f>IF(OR($AO27="FAIL",#REF!="",AO27="Missing Info",AB27="DNQ"),0,((#REF!/12000)*((12/E27)-(12/O27)))+SUM(AT27:AU27))</f>
        <v>#REF!</v>
      </c>
      <c r="BF27" s="765" t="e">
        <f>IF(OR($AO27="FAIL",#REF!="",AO27="Missing Info",AB27="DNQ"),0,IF(AY27="PTHP",((#REF!/12000)*(12/E27-12/O27)*BB27),(((#REF!/12000)*((12/F27)-(12/N27))*BB27))+AV27))</f>
        <v>#REF!</v>
      </c>
      <c r="BG27" s="765" t="e">
        <f>IF(OR($AO27="FAIL",#REF!="",AO27="Missing Info",AB27="DNQ"),0,BF27*References!$AW$12/1000)</f>
        <v>#REF!</v>
      </c>
      <c r="BH27" s="765" t="e">
        <f>BF27*References!$R$429</f>
        <v>#REF!</v>
      </c>
      <c r="BI27" s="765" t="e">
        <f>IF(OR($AO27="FAIL",#REF!="",AO27="Missing Info",AB27="DNQ",References!#REF!=FALSE),0,((#REF!/12000)*((1/(G27/3.412))-(1/(P27/3.412))))+SUM(AT27:AU27))</f>
        <v>#REF!</v>
      </c>
      <c r="BJ27" s="544" t="e">
        <f>IF(OR($AO27="FAIL",#REF!="",AO27="Missing Info",AB27="DNQ"),0,IF(References!#REF!=FALSE,AW27,((#REF!/12000)*((12/G27)-(12/P27))*BC27*I27)+AW27))</f>
        <v>#REF!</v>
      </c>
      <c r="BK27" s="765" t="e">
        <f>IF(OR($AO27="FAIL",#REF!="",AO27="Missing Info",AB27="DNQ",References!#REF!=FALSE),0,-((#REF!/12000)*(1/(P27/3.412))))</f>
        <v>#REF!</v>
      </c>
      <c r="BL27" s="750" t="e">
        <f>IF(OR($AO27="FAIL",#REF!="",AO27="Missing Info",AB27="DNQ",References!#REF!=FALSE),0,((#REF!/12000)*(12/P27)*(BC27*I27))-(#REF!*BC27/1000000)*References!#REF!*I27)</f>
        <v>#REF!</v>
      </c>
      <c r="BM27" s="750" t="e">
        <f>IF(OR($AO27="FAIL",AO27="Missing Info",#REF!=""),0,IF(References!#REF!=TRUE,BJ27*References!$AW$12/1000,((BJ27-BL27)*References!$AW$12/1000)))</f>
        <v>#REF!</v>
      </c>
      <c r="BN27" s="766" t="e">
        <f>IF(OR($AO27="FAIL",AO27="Missing Info",#REF!=""),0,IF(References!#REF!=TRUE,((#REF!*BC27/References!$AD$21)/1000000)*I27,0))</f>
        <v>#REF!</v>
      </c>
      <c r="BO27" s="766" t="e">
        <f>BM27+BN27</f>
        <v>#REF!</v>
      </c>
      <c r="BP27" s="766" t="e">
        <f>(BJ27-BL27)*References!$R$429</f>
        <v>#REF!</v>
      </c>
      <c r="BQ27" s="766" t="e">
        <f>BN27*References!#REF!*References!$W$88</f>
        <v>#REF!</v>
      </c>
      <c r="BR27" s="765" t="e">
        <f>IF(References!#REF!=TRUE,(BN27*References!#REF!*References!$W$88)-(BL27*References!$R$429),BJ27*References!$R$429)</f>
        <v>#REF!</v>
      </c>
    </row>
    <row r="28" spans="1:70" ht="14.15" hidden="1" customHeight="1">
      <c r="A28" s="100">
        <f>A27+1</f>
        <v>2</v>
      </c>
      <c r="C28" s="748" t="e">
        <f>IF(OR(#REF!="Ducted ccASHP",#REF!="Ductless Mini Split - ccASHP"),"Cold Climate","")</f>
        <v>#REF!</v>
      </c>
      <c r="D28" s="748"/>
      <c r="E28" s="748" t="e">
        <f>IF(OR(#REF!="",#REF!="",NOT(ISNUMBER(#REF!))),IF(Qualifying_Index!AY28="PTHP",References!#REF!,IF(ISERROR(SEARCH("HP",#REF!,1)),References!#REF!,References!#REF!)),#REF!)</f>
        <v>#REF!</v>
      </c>
      <c r="F28" s="749" t="e">
        <f>IF(OR(#REF!="",#REF!="",NOT(ISNUMBER(#REF!))),IF(Qualifying_Index!AY28="PTHP",References!$BE$12,IF(ISERROR(SEARCH("HP",#REF!,1)),References!$BE$10,References!$BE$9)),#REF!)</f>
        <v>#REF!</v>
      </c>
      <c r="G28" s="749" t="e">
        <f>IF(AND(OR(References!#REF!="Electric",References!#REF!="Air Source HP",#REF!="Air Source HP"),#REF!&lt;&gt;""),IF(OR(#REF!="",NOT(ISNUMBER(#REF!))),IF(Qualifying_Index!AY28="PTHP",References!$AD$19,References!$AD$21),#REF!),0)</f>
        <v>#REF!</v>
      </c>
      <c r="H28" s="749"/>
      <c r="I28" s="748" t="e">
        <f>IF(#REF!="","",IF(OR(WholeHouse_TF=FALSE,References!AC102=TRUE),References!#REF!,1))</f>
        <v>#REF!</v>
      </c>
      <c r="J28" s="748"/>
      <c r="K28" s="748" t="e">
        <f>IF(AND(References!$AC$101=TRUE,OR(AY28&lt;&gt;"PTHP",AY28&lt;&gt;"Ductless",AY28&lt;&gt;"CAC")),#REF!&amp;" EH"&amp;" "&amp;#REF!,L28&amp;" "&amp;#REF!&amp;" "&amp;#REF!&amp;M28)</f>
        <v>#REF!</v>
      </c>
      <c r="L28" s="748" t="e">
        <f>IF(References!#REF!=TRUE,"Whole House",IF(RIGHT(References!#REF!,2)="HP","Retrofit","New"))</f>
        <v>#REF!</v>
      </c>
      <c r="M28" s="748" t="e">
        <f>IF(References!#REF!&lt;&gt;TRUE,"",IF(References!#REF!=2,1,IF(AND(#REF!&lt;&gt;"Central Air Conditioner",#REF!&lt;&gt;"Ducted Air Source HP",References!#REF!="Oil"),2,3)))</f>
        <v>#REF!</v>
      </c>
      <c r="N28" s="544" t="e">
        <f>IF(#REF!="","",#REF!)</f>
        <v>#REF!</v>
      </c>
      <c r="O28" s="544" t="e">
        <f>IF(#REF!="","",#REF!)</f>
        <v>#REF!</v>
      </c>
      <c r="P28" s="544" t="e">
        <f>IF(#REF!="","",#REF!)</f>
        <v>#REF!</v>
      </c>
      <c r="Q28" s="100" t="e">
        <f>IF(#REF!="","",IF(References!$AC$101=TRUE,INDEX(References!#REF!,MATCH(#REF!&amp;" EH",References!#REF!,0)),INDEX(References!#REF!,MATCH(#REF!,References!#REF!,0))))</f>
        <v>#REF!</v>
      </c>
      <c r="R28" s="100" t="e">
        <f>IF(#REF!="","",IF(References!$AC$101=TRUE,INDEX(References!#REF!,MATCH(#REF!&amp;" EH",References!#REF!,0)),INDEX(References!#REF!,MATCH(#REF!,References!#REF!,0))))</f>
        <v>#REF!</v>
      </c>
      <c r="S28" s="100" t="e">
        <f>IF(#REF!="","",IF(References!$AC$101=TRUE,INDEX(References!#REF!,MATCH(#REF!&amp;" EH",References!#REF!,0)),INDEX(References!#REF!,MATCH(#REF!,References!#REF!,0))))</f>
        <v>#REF!</v>
      </c>
      <c r="T28" s="100" t="e">
        <f>IF(#REF!="","",INDEX(References!#REF!,MATCH(#REF!,References!#REF!,0)))</f>
        <v>#REF!</v>
      </c>
      <c r="U28" s="100" t="e">
        <f>IF(#REF!="","",INDEX(References!#REF!,MATCH(#REF!,References!#REF!,0)))</f>
        <v>#REF!</v>
      </c>
      <c r="V28" s="100" t="e">
        <f>IF(#REF!="","",IF(References!$AC$101=TRUE,INDEX(References!$J$26:$J$26,MATCH(#REF!&amp;" EH",References!#REF!,0)),INDEX(References!$J$26:$J$26,MATCH(#REF!,References!#REF!,0))))</f>
        <v>#REF!</v>
      </c>
      <c r="W28" s="100" t="e">
        <f>IF(#REF!="","",IF(References!$AC$101=TRUE,INDEX(References!#REF!,MATCH(#REF!&amp;" EH",References!#REF!,0)),INDEX(References!#REF!,MATCH(#REF!,References!#REF!,0))))</f>
        <v>#REF!</v>
      </c>
      <c r="X28" s="100" t="e">
        <f t="shared" si="0"/>
        <v>#REF!</v>
      </c>
      <c r="Y28" s="100" t="e">
        <f t="shared" si="1"/>
        <v>#REF!</v>
      </c>
      <c r="Z28" s="100" t="e">
        <f>IF(#REF!="","",IF(V28=0,"",IF(AND(P28&lt;V28,P28&lt;W28),"DNQ",IF(P28&gt;=W28,"Tier II","Tier I"))))</f>
        <v>#REF!</v>
      </c>
      <c r="AB28" s="565" t="e">
        <f>IF(OR(X28="DNQ",Y28="DNQ",Z28="DNQ",#REF!="FAIL"),"DNQ",IF(OR(X28="Tier I",Z28="Tier I"),"Tier I",IF(OR(X28="Tier II",Z28="Tier II"),"Tier II","Tier III")))</f>
        <v>#REF!</v>
      </c>
      <c r="AC28" s="100" t="e">
        <f>References!#REF!</f>
        <v>#REF!</v>
      </c>
      <c r="AD28" s="100" t="e">
        <f>IF(#REF!="","",IF(AB28="DNQ","DNQ",INDEX(IF(AC28="Income Eligible ",References!#REF!,References!#REF!),MATCH(K28,References!#REF!,0))*(#REF!/12000)))</f>
        <v>#REF!</v>
      </c>
      <c r="AE28" s="100" t="e">
        <f>IF(#REF!="","",IF(AD28="DNQ",0,INDEX(References!#REF!,MATCH(Qualifying_Index!K28,References!#REF!,0))))</f>
        <v>#REF!</v>
      </c>
      <c r="AF28" s="100" t="e">
        <f t="shared" si="2"/>
        <v>#REF!</v>
      </c>
      <c r="AG28" s="100" t="e">
        <f>IF(COUNTIF(AF27,1),0,AE28)</f>
        <v>#REF!</v>
      </c>
      <c r="AI28" s="100" t="e">
        <f>((#REF!*0.65))</f>
        <v>#REF!</v>
      </c>
      <c r="AJ28" s="100" t="e">
        <f>((#REF!*1.35))</f>
        <v>#REF!</v>
      </c>
      <c r="AK28" s="100" t="e">
        <f>IF(AND(References!#REF!=TRUE,References!$AC$101=FALSE),(#REF!*1),#REF!*0.65)</f>
        <v>#REF!</v>
      </c>
      <c r="AL28" s="100" t="e">
        <f>IF(AND(References!#REF!=TRUE,References!$AC$101=FALSE),(#REF!*1.3),#REF!*1.35)</f>
        <v>#REF!</v>
      </c>
      <c r="AM28" s="100" t="e">
        <f>IF(AND(#REF!&gt;=Qualifying_Index!AI28,#REF!&lt;=Qualifying_Index!AJ28),"PASS","FAIL")</f>
        <v>#REF!</v>
      </c>
      <c r="AN28" s="565" t="e">
        <f>IF(OR(AK28=0,AL28=0),"FAIL",IF(AND(IF(AND(References!#REF!=TRUE,References!$AC$101=FALSE),#REF!,#REF!)&gt;=AK28,IF(References!#REF!=TRUE,#REF!,#REF!)&lt;=AL28),"PASS","FAIL"))</f>
        <v>#REF!</v>
      </c>
      <c r="AO28" s="565" t="e">
        <f>IF(References!#REF!=TRUE,IF(AND(#REF!="",#REF!=""),"Missing Info",IF(AN28="PASS","PASS","FAIL")),IF(AND(#REF!="",#REF!="",LEFT(#REF!,6)="Ducted"),"Missing Info",IF(OR(AM28="PASS",AN28="PASS",LEFT(#REF!,6)&lt;&gt;"Ducted"),"PASS","FAIL")))</f>
        <v>#REF!</v>
      </c>
      <c r="AQ28" s="100" t="e">
        <f>IF(OR(#REF!="",#REF!="",#REF!="",#REF!="",#REF!="",#REF!="",#REF!="",#REF!="",#REF!="",#REF!=""),"Missing Info","")</f>
        <v>#REF!</v>
      </c>
      <c r="AR28" s="100" t="e">
        <f>IF(AND(AZ28=1,#REF!=""),"Missing Info",IF(AY28="PTHP",AQ28,IF(OR(#REF!="",#REF!="",#REF!="",#REF!="",#REF!="",#REF!="",#REF!="",#REF!="",#REF!="",AO28="Missing Info"),"Missing Info","")))</f>
        <v>#REF!</v>
      </c>
      <c r="AS28" s="100" t="e">
        <f>IF(AND(AZ28=1,#REF!=""),"Missing Info",IF(AY28="PTHP",AQ28,IF(OR(#REF!="",#REF!="",#REF!="",#REF!="",#REF!="",#REF!="",#REF!="",#REF!=""),"Missing Info","")))</f>
        <v>#REF!</v>
      </c>
      <c r="AT28" s="765" t="e">
        <f>IF(OR(#REF!="",#REF!=""),"",IF(OR(#REF!="Ducted ASHP",#REF!="Ducted ccASHP"),#REF!/12000*(12/#REF!)*kW_CA,0))</f>
        <v>#REF!</v>
      </c>
      <c r="AU28" s="765" t="e">
        <f>IF(#REF!="","",IF(OR(#REF!=""),"",#REF!*(12/#REF!)*kW_RS))</f>
        <v>#REF!</v>
      </c>
      <c r="AV28" s="766" t="e">
        <f>IF(OR(#REF!="",#REF!="",#REF!=""),"",IF(OR(#REF!="Ducted ASHP",#REF!="Ducted ccASHP"),#REF!/12000*(12/#REF!*FLH_Cool)*QI_kWh,0))</f>
        <v>#REF!</v>
      </c>
      <c r="AW28" s="766" t="e">
        <f>IF(OR(#REF!="",#REF!="",#REF!=""),"",IF(OR(#REF!="Ducted ASHP",#REF!="Ducted ccASHP"),#REF!/12000*(12/#REF!*FLH_Heat)*QI_kWh,0))</f>
        <v>#REF!</v>
      </c>
      <c r="AY28" s="100" t="e">
        <f>IF(#REF!="","",INDEX(References!#REF!,MATCH(#REF!,Equipment_Type,0)))</f>
        <v>#REF!</v>
      </c>
      <c r="AZ28" s="100" t="e">
        <f>IF(#REF!="","",INDEX(References!#REF!,MATCH(#REF!,Equipment_Type,0)))</f>
        <v>#REF!</v>
      </c>
      <c r="BB28" s="100" t="e">
        <f>IF(WholeHouse_TF=FALSE,References!#REF!,IF(References!#REF!="New Construction",FLH_Cool,IF(References!#REF!="",0,References!#REF!)))</f>
        <v>#REF!</v>
      </c>
      <c r="BC28" s="100" t="e">
        <f>IF(WholeHouse_TF=FALSE,References!#REF!,IF(References!#REF!="New Construction",FLH_Heat,IF(References!#REF!="",0,References!#REF!)))</f>
        <v>#REF!</v>
      </c>
      <c r="BE28" s="765" t="e">
        <f>IF(OR($AO28="FAIL",#REF!="",AO28="Missing Info",AB28="DNQ"),0,((#REF!/12000)*((12/E28)-(12/O28)))+SUM(AT28:AU28))</f>
        <v>#REF!</v>
      </c>
      <c r="BF28" s="765" t="e">
        <f>IF(OR($AO28="FAIL",#REF!="",AO28="Missing Info",AB28="DNQ"),0,IF(AY28="PTHP",((#REF!/12000)*(12/E28-12/O28)*BB28),(((#REF!/12000)*((12/F28)-(12/N28))*BB28))+AV28))</f>
        <v>#REF!</v>
      </c>
      <c r="BG28" s="765" t="e">
        <f>IF(OR($AO28="FAIL",#REF!="",AO28="Missing Info",AB28="DNQ"),0,BF28*References!$AW$12/1000)</f>
        <v>#REF!</v>
      </c>
      <c r="BH28" s="765" t="e">
        <f>BF28*References!$R$429</f>
        <v>#REF!</v>
      </c>
      <c r="BI28" s="765" t="e">
        <f>IF(OR($AO28="FAIL",#REF!="",AO28="Missing Info",AB28="DNQ",References!#REF!=FALSE),0,((#REF!/12000)*((1/(G28/3.412))-(1/(P28/3.412))))+SUM(AT28:AU28))</f>
        <v>#REF!</v>
      </c>
      <c r="BJ28" s="544" t="e">
        <f>IF(OR($AO28="FAIL",#REF!="",AO28="Missing Info",AB28="DNQ"),0,IF(References!#REF!=FALSE,AW28,((#REF!/12000)*((12/G28)-(12/P28))*BC28*I28)+AW28))</f>
        <v>#REF!</v>
      </c>
      <c r="BK28" s="765" t="e">
        <f>IF(OR($AO28="FAIL",#REF!="",AO28="Missing Info",AB28="DNQ",References!#REF!=FALSE),0,-((#REF!/12000)*(1/(P28/3.412))))</f>
        <v>#REF!</v>
      </c>
      <c r="BL28" s="750" t="e">
        <f>IF(OR($AO28="FAIL",#REF!="",AO28="Missing Info",AB28="DNQ",References!#REF!=FALSE),0,((#REF!/12000)*(12/P28)*(BC28*I28))-(#REF!*BC28/1000000)*References!#REF!*I28)</f>
        <v>#REF!</v>
      </c>
      <c r="BM28" s="750" t="e">
        <f>IF(OR($AO28="FAIL",AO28="Missing Info",#REF!=""),0,IF(References!#REF!=TRUE,BJ28*References!$AW$12/1000,((BJ28-BL28)*References!$AW$12/1000)))</f>
        <v>#REF!</v>
      </c>
      <c r="BN28" s="766" t="e">
        <f>IF(OR($AO28="FAIL",AO28="Missing Info",#REF!=""),0,IF(References!#REF!=TRUE,((#REF!*BC28/References!$AD$21)/1000000)*I28,0))</f>
        <v>#REF!</v>
      </c>
      <c r="BO28" s="766" t="e">
        <f t="shared" ref="BO28:BO36" si="3">BM28+BN28</f>
        <v>#REF!</v>
      </c>
      <c r="BP28" s="766" t="e">
        <f>(BJ28-BL28)*References!$R$429</f>
        <v>#REF!</v>
      </c>
      <c r="BQ28" s="766" t="e">
        <f>BN28*References!#REF!*References!$W$88</f>
        <v>#REF!</v>
      </c>
      <c r="BR28" s="765" t="e">
        <f>IF(References!#REF!=TRUE,(BN28*References!#REF!*References!$W$88)-(BL28*References!$R$429),BJ28*References!$R$429)</f>
        <v>#REF!</v>
      </c>
    </row>
    <row r="29" spans="1:70" ht="14.15" hidden="1" customHeight="1">
      <c r="A29" s="100">
        <f t="shared" ref="A29:A36" si="4">A28+1</f>
        <v>3</v>
      </c>
      <c r="C29" s="748" t="e">
        <f>IF(OR(#REF!="Ducted ccASHP",#REF!="Ductless Mini Split - ccASHP"),"Cold Climate","")</f>
        <v>#REF!</v>
      </c>
      <c r="D29" s="748"/>
      <c r="E29" s="748" t="e">
        <f>IF(OR(#REF!="",#REF!="",NOT(ISNUMBER(#REF!))),IF(Qualifying_Index!AY29="PTHP",References!#REF!,IF(ISERROR(SEARCH("HP",#REF!,1)),References!#REF!,References!#REF!)),#REF!)</f>
        <v>#REF!</v>
      </c>
      <c r="F29" s="749" t="e">
        <f>IF(OR(#REF!="",#REF!="",NOT(ISNUMBER(#REF!))),IF(Qualifying_Index!AY29="PTHP",References!$BE$12,IF(ISERROR(SEARCH("HP",#REF!,1)),References!$BE$10,References!$BE$9)),#REF!)</f>
        <v>#REF!</v>
      </c>
      <c r="G29" s="749" t="e">
        <f>IF(AND(OR(References!#REF!="Electric",References!#REF!="Air Source HP",#REF!="Air Source HP"),#REF!&lt;&gt;""),IF(OR(#REF!="",NOT(ISNUMBER(#REF!))),IF(Qualifying_Index!AY29="PTHP",References!$AD$19,References!$AD$21),#REF!),0)</f>
        <v>#REF!</v>
      </c>
      <c r="H29" s="749"/>
      <c r="I29" s="748" t="e">
        <f>IF(#REF!="","",IF(OR(WholeHouse_TF=FALSE,References!AC103=TRUE),References!#REF!,1))</f>
        <v>#REF!</v>
      </c>
      <c r="J29" s="748"/>
      <c r="K29" s="748" t="e">
        <f>IF(AND(References!$AC$101=TRUE,OR(AY29&lt;&gt;"PTHP",AY29&lt;&gt;"Ductless",AY29&lt;&gt;"CAC")),#REF!&amp;" EH"&amp;" "&amp;#REF!,L29&amp;" "&amp;#REF!&amp;" "&amp;#REF!&amp;M29)</f>
        <v>#REF!</v>
      </c>
      <c r="L29" s="748" t="e">
        <f>IF(References!#REF!=TRUE,"Whole House",IF(RIGHT(References!#REF!,2)="HP","Retrofit","New"))</f>
        <v>#REF!</v>
      </c>
      <c r="M29" s="748" t="e">
        <f>IF(References!#REF!&lt;&gt;TRUE,"",IF(References!#REF!=2,1,IF(AND(#REF!&lt;&gt;"Central Air Conditioner",#REF!&lt;&gt;"Ducted Air Source HP",References!#REF!="Oil"),2,3)))</f>
        <v>#REF!</v>
      </c>
      <c r="N29" s="544" t="e">
        <f>IF(#REF!="","",#REF!)</f>
        <v>#REF!</v>
      </c>
      <c r="O29" s="544" t="e">
        <f>IF(#REF!="","",#REF!)</f>
        <v>#REF!</v>
      </c>
      <c r="P29" s="544" t="e">
        <f>IF(#REF!="","",#REF!)</f>
        <v>#REF!</v>
      </c>
      <c r="Q29" s="100" t="e">
        <f>IF(#REF!="","",IF(References!$AC$101=TRUE,INDEX(References!#REF!,MATCH(#REF!&amp;" EH",References!#REF!,0)),INDEX(References!#REF!,MATCH(#REF!,References!#REF!,0))))</f>
        <v>#REF!</v>
      </c>
      <c r="R29" s="100" t="e">
        <f>IF(#REF!="","",IF(References!$AC$101=TRUE,INDEX(References!#REF!,MATCH(#REF!&amp;" EH",References!#REF!,0)),INDEX(References!#REF!,MATCH(#REF!,References!#REF!,0))))</f>
        <v>#REF!</v>
      </c>
      <c r="S29" s="100" t="e">
        <f>IF(#REF!="","",IF(References!$AC$101=TRUE,INDEX(References!#REF!,MATCH(#REF!&amp;" EH",References!#REF!,0)),INDEX(References!#REF!,MATCH(#REF!,References!#REF!,0))))</f>
        <v>#REF!</v>
      </c>
      <c r="T29" s="100" t="e">
        <f>IF(#REF!="","",INDEX(References!#REF!,MATCH(#REF!,References!#REF!,0)))</f>
        <v>#REF!</v>
      </c>
      <c r="U29" s="100" t="e">
        <f>IF(#REF!="","",INDEX(References!#REF!,MATCH(#REF!,References!#REF!,0)))</f>
        <v>#REF!</v>
      </c>
      <c r="V29" s="100" t="e">
        <f>IF(#REF!="","",IF(References!$AC$101=TRUE,INDEX(References!$J$26:$J$26,MATCH(#REF!&amp;" EH",References!#REF!,0)),INDEX(References!$J$26:$J$26,MATCH(#REF!,References!#REF!,0))))</f>
        <v>#REF!</v>
      </c>
      <c r="W29" s="100" t="e">
        <f>IF(#REF!="","",IF(References!$AC$101=TRUE,INDEX(References!#REF!,MATCH(#REF!&amp;" EH",References!#REF!,0)),INDEX(References!#REF!,MATCH(#REF!,References!#REF!,0))))</f>
        <v>#REF!</v>
      </c>
      <c r="X29" s="100" t="e">
        <f t="shared" si="0"/>
        <v>#REF!</v>
      </c>
      <c r="Y29" s="100" t="e">
        <f t="shared" si="1"/>
        <v>#REF!</v>
      </c>
      <c r="Z29" s="100" t="e">
        <f>IF(#REF!="","",IF(V29=0,"",IF(AND(P29&lt;V29,P29&lt;W29),"DNQ",IF(P29&gt;=W29,"Tier II","Tier I"))))</f>
        <v>#REF!</v>
      </c>
      <c r="AB29" s="565" t="e">
        <f>IF(OR(X29="DNQ",Y29="DNQ",Z29="DNQ",#REF!="FAIL"),"DNQ",IF(OR(X29="Tier I",Z29="Tier I"),"Tier I",IF(OR(X29="Tier II",Z29="Tier II"),"Tier II","Tier III")))</f>
        <v>#REF!</v>
      </c>
      <c r="AC29" s="100" t="e">
        <f>References!#REF!</f>
        <v>#REF!</v>
      </c>
      <c r="AD29" s="100" t="e">
        <f>IF(#REF!="","",IF(AB29="DNQ","DNQ",INDEX(IF(AC29="Income Eligible ",References!#REF!,References!#REF!),MATCH(K29,References!#REF!,0))*(#REF!/12000)))</f>
        <v>#REF!</v>
      </c>
      <c r="AE29" s="100" t="e">
        <f>IF(#REF!="","",IF(AD29="DNQ",0,INDEX(References!#REF!,MATCH(Qualifying_Index!K29,References!#REF!,0))))</f>
        <v>#REF!</v>
      </c>
      <c r="AF29" s="100" t="e">
        <f t="shared" si="2"/>
        <v>#REF!</v>
      </c>
      <c r="AG29" s="100" t="e">
        <f>IF(COUNTIF(AF27:AF28,1),0,AE29)</f>
        <v>#REF!</v>
      </c>
      <c r="AI29" s="100" t="e">
        <f>((#REF!*0.65))</f>
        <v>#REF!</v>
      </c>
      <c r="AJ29" s="100" t="e">
        <f>((#REF!*1.35))</f>
        <v>#REF!</v>
      </c>
      <c r="AK29" s="100" t="e">
        <f>IF(AND(References!#REF!=TRUE,References!$AC$101=FALSE),(#REF!*1),#REF!*0.65)</f>
        <v>#REF!</v>
      </c>
      <c r="AL29" s="100" t="e">
        <f>IF(AND(References!#REF!=TRUE,References!$AC$101=FALSE),(#REF!*1.3),#REF!*1.35)</f>
        <v>#REF!</v>
      </c>
      <c r="AM29" s="100" t="e">
        <f>IF(AND(#REF!&gt;=Qualifying_Index!AI29,#REF!&lt;=Qualifying_Index!AJ29),"PASS","FAIL")</f>
        <v>#REF!</v>
      </c>
      <c r="AN29" s="565" t="e">
        <f>IF(OR(AK29=0,AL29=0),"FAIL",IF(AND(IF(AND(References!#REF!=TRUE,References!$AC$101=FALSE),#REF!,#REF!)&gt;=AK29,IF(References!#REF!=TRUE,#REF!,#REF!)&lt;=AL29),"PASS","FAIL"))</f>
        <v>#REF!</v>
      </c>
      <c r="AO29" s="565" t="e">
        <f>IF(References!#REF!=TRUE,IF(AND(#REF!="",#REF!=""),"Missing Info",IF(AN29="PASS","PASS","FAIL")),IF(AND(#REF!="",#REF!="",LEFT(#REF!,6)="Ducted"),"Missing Info",IF(OR(AM29="PASS",AN29="PASS",LEFT(#REF!,6)&lt;&gt;"Ducted"),"PASS","FAIL")))</f>
        <v>#REF!</v>
      </c>
      <c r="AQ29" s="100" t="e">
        <f>IF(OR(#REF!="",#REF!="",#REF!="",#REF!="",#REF!="",#REF!="",#REF!="",#REF!="",#REF!="",#REF!=""),"Missing Info","")</f>
        <v>#REF!</v>
      </c>
      <c r="AR29" s="100" t="e">
        <f>IF(AND(AZ29=1,#REF!=""),"Missing Info",IF(AY29="PTHP",AQ29,IF(OR(#REF!="",#REF!="",#REF!="",#REF!="",#REF!="",#REF!="",#REF!="",#REF!="",#REF!="",AO29="Missing Info"),"Missing Info","")))</f>
        <v>#REF!</v>
      </c>
      <c r="AS29" s="100" t="e">
        <f>IF(AND(AZ29=1,#REF!=""),"Missing Info",IF(AY29="PTHP",AQ29,IF(OR(#REF!="",#REF!="",#REF!="",#REF!="",#REF!="",#REF!="",#REF!="",#REF!=""),"Missing Info","")))</f>
        <v>#REF!</v>
      </c>
      <c r="AT29" s="765" t="e">
        <f>IF(OR(#REF!="",#REF!=""),"",IF(OR(#REF!="Ducted ASHP",#REF!="Ducted ccASHP"),#REF!/12000*(12/#REF!)*kW_CA,0))</f>
        <v>#REF!</v>
      </c>
      <c r="AU29" s="765" t="e">
        <f>IF(#REF!="","",IF(OR(#REF!=""),"",#REF!*(12/#REF!)*kW_RS))</f>
        <v>#REF!</v>
      </c>
      <c r="AV29" s="766" t="e">
        <f>IF(OR(#REF!="",#REF!="",#REF!=""),"",IF(OR(#REF!="Ducted ASHP",#REF!="Ducted ccASHP"),#REF!/12000*(12/#REF!*FLH_Cool)*QI_kWh,0))</f>
        <v>#REF!</v>
      </c>
      <c r="AW29" s="766" t="e">
        <f>IF(OR(#REF!="",#REF!="",#REF!=""),"",IF(OR(#REF!="Ducted ASHP",#REF!="Ducted ccASHP"),#REF!/12000*(12/#REF!*FLH_Heat)*QI_kWh,0))</f>
        <v>#REF!</v>
      </c>
      <c r="AY29" s="100" t="e">
        <f>IF(#REF!="","",INDEX(References!#REF!,MATCH(#REF!,Equipment_Type,0)))</f>
        <v>#REF!</v>
      </c>
      <c r="AZ29" s="100" t="e">
        <f>IF(#REF!="","",INDEX(References!#REF!,MATCH(#REF!,Equipment_Type,0)))</f>
        <v>#REF!</v>
      </c>
      <c r="BB29" s="100" t="e">
        <f>IF(WholeHouse_TF=FALSE,References!#REF!,IF(References!#REF!="New Construction",FLH_Cool,IF(References!#REF!="",0,References!#REF!)))</f>
        <v>#REF!</v>
      </c>
      <c r="BC29" s="100" t="e">
        <f>IF(WholeHouse_TF=FALSE,References!#REF!,IF(References!#REF!="New Construction",FLH_Heat,IF(References!#REF!="",0,References!#REF!)))</f>
        <v>#REF!</v>
      </c>
      <c r="BE29" s="765" t="e">
        <f>IF(OR($AO29="FAIL",#REF!="",AO29="Missing Info",AB29="DNQ"),0,((#REF!/12000)*((12/E29)-(12/O29)))+SUM(AT29:AU29))</f>
        <v>#REF!</v>
      </c>
      <c r="BF29" s="765" t="e">
        <f>IF(OR($AO29="FAIL",#REF!="",AO29="Missing Info",AB29="DNQ"),0,IF(AY29="PTHP",((#REF!/12000)*(12/E29-12/O29)*BB29),(((#REF!/12000)*((12/F29)-(12/N29))*BB29))+AV29))</f>
        <v>#REF!</v>
      </c>
      <c r="BG29" s="765" t="e">
        <f>IF(OR($AO29="FAIL",#REF!="",AO29="Missing Info",AB29="DNQ"),0,BF29*References!$AW$12/1000)</f>
        <v>#REF!</v>
      </c>
      <c r="BH29" s="765" t="e">
        <f>BF29*References!$R$429</f>
        <v>#REF!</v>
      </c>
      <c r="BI29" s="765" t="e">
        <f>IF(OR($AO29="FAIL",#REF!="",AO29="Missing Info",AB29="DNQ",References!#REF!=FALSE),0,((#REF!/12000)*((1/(G29/3.412))-(1/(P29/3.412))))+SUM(AT29:AU29))</f>
        <v>#REF!</v>
      </c>
      <c r="BJ29" s="544" t="e">
        <f>IF(OR($AO29="FAIL",#REF!="",AO29="Missing Info",AB29="DNQ"),0,IF(References!#REF!=FALSE,AW29,((#REF!/12000)*((12/G29)-(12/P29))*BC29*I29)+AW29))</f>
        <v>#REF!</v>
      </c>
      <c r="BK29" s="765" t="e">
        <f>IF(OR($AO29="FAIL",#REF!="",AO29="Missing Info",AB29="DNQ",References!#REF!=FALSE),0,-((#REF!/12000)*(1/(P29/3.412))))</f>
        <v>#REF!</v>
      </c>
      <c r="BL29" s="750" t="e">
        <f>IF(OR($AO29="FAIL",#REF!="",AO29="Missing Info",AB29="DNQ",References!#REF!=FALSE),0,((#REF!/12000)*(12/P29)*(BC29*I29))-(#REF!*BC29/1000000)*References!#REF!*I29)</f>
        <v>#REF!</v>
      </c>
      <c r="BM29" s="750" t="e">
        <f>IF(OR($AO29="FAIL",AO29="Missing Info",#REF!=""),0,IF(References!#REF!=TRUE,BJ29*References!$AW$12/1000,((BJ29-BL29)*References!$AW$12/1000)))</f>
        <v>#REF!</v>
      </c>
      <c r="BN29" s="766" t="e">
        <f>IF(OR($AO29="FAIL",AO29="Missing Info",#REF!=""),0,IF(References!#REF!=TRUE,((#REF!*BC29/References!$AD$21)/1000000)*I29,0))</f>
        <v>#REF!</v>
      </c>
      <c r="BO29" s="766" t="e">
        <f t="shared" si="3"/>
        <v>#REF!</v>
      </c>
      <c r="BP29" s="766" t="e">
        <f>(BJ29-BL29)*References!$R$429</f>
        <v>#REF!</v>
      </c>
      <c r="BQ29" s="766" t="e">
        <f>BN29*References!#REF!*References!$W$88</f>
        <v>#REF!</v>
      </c>
      <c r="BR29" s="765" t="e">
        <f>IF(References!#REF!=TRUE,(BN29*References!#REF!*References!$W$88)-(BL29*References!$R$429),BJ29*References!$R$429)</f>
        <v>#REF!</v>
      </c>
    </row>
    <row r="30" spans="1:70" ht="14.15" hidden="1" customHeight="1">
      <c r="A30" s="100">
        <f t="shared" si="4"/>
        <v>4</v>
      </c>
      <c r="C30" s="748" t="e">
        <f>IF(OR(#REF!="Ducted ccASHP",#REF!="Ductless Mini Split - ccASHP"),"Cold Climate","")</f>
        <v>#REF!</v>
      </c>
      <c r="D30" s="748"/>
      <c r="E30" s="748" t="e">
        <f>IF(OR(#REF!="",#REF!="",NOT(ISNUMBER(#REF!))),IF(Qualifying_Index!AY30="PTHP",References!#REF!,IF(ISERROR(SEARCH("HP",#REF!,1)),References!#REF!,References!#REF!)),#REF!)</f>
        <v>#REF!</v>
      </c>
      <c r="F30" s="749" t="e">
        <f>IF(OR(#REF!="",#REF!="",NOT(ISNUMBER(#REF!))),IF(Qualifying_Index!AY30="PTHP",References!$BE$12,IF(ISERROR(SEARCH("HP",#REF!,1)),References!$BE$10,References!$BE$9)),#REF!)</f>
        <v>#REF!</v>
      </c>
      <c r="G30" s="749" t="e">
        <f>IF(AND(OR(References!#REF!="Electric",References!#REF!="Air Source HP",#REF!="Air Source HP"),#REF!&lt;&gt;""),IF(OR(#REF!="",NOT(ISNUMBER(#REF!))),IF(Qualifying_Index!AY30="PTHP",References!$AD$19,References!$AD$21),#REF!),0)</f>
        <v>#REF!</v>
      </c>
      <c r="H30" s="749"/>
      <c r="I30" s="748" t="e">
        <f>IF(#REF!="","",IF(OR(WholeHouse_TF=FALSE,References!AC104=TRUE),References!#REF!,1))</f>
        <v>#REF!</v>
      </c>
      <c r="J30" s="748"/>
      <c r="K30" s="748" t="e">
        <f>IF(AND(References!$AC$101=TRUE,OR(AY30&lt;&gt;"PTHP",AY30&lt;&gt;"Ductless",AY30&lt;&gt;"CAC")),#REF!&amp;" EH"&amp;" "&amp;#REF!,L30&amp;" "&amp;#REF!&amp;" "&amp;#REF!&amp;M30)</f>
        <v>#REF!</v>
      </c>
      <c r="L30" s="748" t="e">
        <f>IF(References!#REF!=TRUE,"Whole House",IF(RIGHT(References!#REF!,2)="HP","Retrofit","New"))</f>
        <v>#REF!</v>
      </c>
      <c r="M30" s="748" t="e">
        <f>IF(References!#REF!&lt;&gt;TRUE,"",IF(References!#REF!=2,1,IF(AND(#REF!&lt;&gt;"Central Air Conditioner",#REF!&lt;&gt;"Ducted Air Source HP",References!#REF!="Oil"),2,3)))</f>
        <v>#REF!</v>
      </c>
      <c r="N30" s="544" t="e">
        <f>IF(#REF!="","",#REF!)</f>
        <v>#REF!</v>
      </c>
      <c r="O30" s="544" t="e">
        <f>IF(#REF!="","",#REF!)</f>
        <v>#REF!</v>
      </c>
      <c r="P30" s="544" t="e">
        <f>IF(#REF!="","",#REF!)</f>
        <v>#REF!</v>
      </c>
      <c r="Q30" s="100" t="e">
        <f>IF(#REF!="","",IF(References!$AC$101=TRUE,INDEX(References!#REF!,MATCH(#REF!&amp;" EH",References!#REF!,0)),INDEX(References!#REF!,MATCH(#REF!,References!#REF!,0))))</f>
        <v>#REF!</v>
      </c>
      <c r="R30" s="100" t="e">
        <f>IF(#REF!="","",IF(References!$AC$101=TRUE,INDEX(References!#REF!,MATCH(#REF!&amp;" EH",References!#REF!,0)),INDEX(References!#REF!,MATCH(#REF!,References!#REF!,0))))</f>
        <v>#REF!</v>
      </c>
      <c r="S30" s="100" t="e">
        <f>IF(#REF!="","",IF(References!$AC$101=TRUE,INDEX(References!#REF!,MATCH(#REF!&amp;" EH",References!#REF!,0)),INDEX(References!#REF!,MATCH(#REF!,References!#REF!,0))))</f>
        <v>#REF!</v>
      </c>
      <c r="T30" s="100" t="e">
        <f>IF(#REF!="","",INDEX(References!#REF!,MATCH(#REF!,References!#REF!,0)))</f>
        <v>#REF!</v>
      </c>
      <c r="U30" s="100" t="e">
        <f>IF(#REF!="","",INDEX(References!#REF!,MATCH(#REF!,References!#REF!,0)))</f>
        <v>#REF!</v>
      </c>
      <c r="V30" s="100" t="e">
        <f>IF(#REF!="","",IF(References!$AC$101=TRUE,INDEX(References!$J$26:$J$26,MATCH(#REF!&amp;" EH",References!#REF!,0)),INDEX(References!$J$26:$J$26,MATCH(#REF!,References!#REF!,0))))</f>
        <v>#REF!</v>
      </c>
      <c r="W30" s="100" t="e">
        <f>IF(#REF!="","",IF(References!$AC$101=TRUE,INDEX(References!#REF!,MATCH(#REF!&amp;" EH",References!#REF!,0)),INDEX(References!#REF!,MATCH(#REF!,References!#REF!,0))))</f>
        <v>#REF!</v>
      </c>
      <c r="X30" s="100" t="e">
        <f t="shared" si="0"/>
        <v>#REF!</v>
      </c>
      <c r="Y30" s="100" t="e">
        <f t="shared" si="1"/>
        <v>#REF!</v>
      </c>
      <c r="Z30" s="100" t="e">
        <f>IF(#REF!="","",IF(V30=0,"",IF(AND(P30&lt;V30,P30&lt;W30),"DNQ",IF(P30&gt;=W30,"Tier II","Tier I"))))</f>
        <v>#REF!</v>
      </c>
      <c r="AB30" s="565" t="e">
        <f>IF(OR(X30="DNQ",Y30="DNQ",Z30="DNQ",#REF!="FAIL"),"DNQ",IF(OR(X30="Tier I",Z30="Tier I"),"Tier I",IF(OR(X30="Tier II",Z30="Tier II"),"Tier II","Tier III")))</f>
        <v>#REF!</v>
      </c>
      <c r="AC30" s="100" t="e">
        <f>References!#REF!</f>
        <v>#REF!</v>
      </c>
      <c r="AD30" s="100" t="e">
        <f>IF(#REF!="","",IF(AB30="DNQ","DNQ",INDEX(IF(AC30="Income Eligible ",References!#REF!,References!#REF!),MATCH(K30,References!#REF!,0))*(#REF!/12000)))</f>
        <v>#REF!</v>
      </c>
      <c r="AE30" s="100" t="e">
        <f>IF(#REF!="","",IF(AD30="DNQ",0,INDEX(References!#REF!,MATCH(Qualifying_Index!K30,References!#REF!,0))))</f>
        <v>#REF!</v>
      </c>
      <c r="AF30" s="100" t="e">
        <f t="shared" si="2"/>
        <v>#REF!</v>
      </c>
      <c r="AG30" s="100" t="e">
        <f>IF(COUNTIF(AF27:AF29,1),0,AE30)</f>
        <v>#REF!</v>
      </c>
      <c r="AI30" s="100" t="e">
        <f>((#REF!*0.65))</f>
        <v>#REF!</v>
      </c>
      <c r="AJ30" s="100" t="e">
        <f>((#REF!*1.35))</f>
        <v>#REF!</v>
      </c>
      <c r="AK30" s="100" t="e">
        <f>IF(AND(References!#REF!=TRUE,References!$AC$101=FALSE),(#REF!*1),#REF!*0.65)</f>
        <v>#REF!</v>
      </c>
      <c r="AL30" s="100" t="e">
        <f>IF(AND(References!#REF!=TRUE,References!$AC$101=FALSE),(#REF!*1.3),#REF!*1.35)</f>
        <v>#REF!</v>
      </c>
      <c r="AM30" s="100" t="e">
        <f>IF(AND(#REF!&gt;=Qualifying_Index!AI30,#REF!&lt;=Qualifying_Index!AJ30),"PASS","FAIL")</f>
        <v>#REF!</v>
      </c>
      <c r="AN30" s="565" t="e">
        <f>IF(OR(AK30=0,AL30=0),"FAIL",IF(AND(IF(AND(References!#REF!=TRUE,References!$AC$101=FALSE),#REF!,#REF!)&gt;=AK30,IF(References!#REF!=TRUE,#REF!,#REF!)&lt;=AL30),"PASS","FAIL"))</f>
        <v>#REF!</v>
      </c>
      <c r="AO30" s="565" t="e">
        <f>IF(References!#REF!=TRUE,IF(AND(#REF!="",#REF!=""),"Missing Info",IF(AN30="PASS","PASS","FAIL")),IF(AND(#REF!="",#REF!="",LEFT(#REF!,6)="Ducted"),"Missing Info",IF(OR(AM30="PASS",AN30="PASS",LEFT(#REF!,6)&lt;&gt;"Ducted"),"PASS","FAIL")))</f>
        <v>#REF!</v>
      </c>
      <c r="AQ30" s="100" t="e">
        <f>IF(OR(#REF!="",#REF!="",#REF!="",#REF!="",#REF!="",#REF!="",#REF!="",#REF!="",#REF!="",#REF!=""),"Missing Info","")</f>
        <v>#REF!</v>
      </c>
      <c r="AR30" s="100" t="e">
        <f>IF(AND(AZ30=1,#REF!=""),"Missing Info",IF(AY30="PTHP",AQ30,IF(OR(#REF!="",#REF!="",#REF!="",#REF!="",#REF!="",#REF!="",#REF!="",#REF!="",#REF!="",AO30="Missing Info"),"Missing Info","")))</f>
        <v>#REF!</v>
      </c>
      <c r="AS30" s="100" t="e">
        <f>IF(AND(AZ30=1,#REF!=""),"Missing Info",IF(AY30="PTHP",AQ30,IF(OR(#REF!="",#REF!="",#REF!="",#REF!="",#REF!="",#REF!="",#REF!="",#REF!=""),"Missing Info","")))</f>
        <v>#REF!</v>
      </c>
      <c r="AT30" s="765" t="e">
        <f>IF(OR(#REF!="",#REF!=""),"",IF(OR(#REF!="Ducted ASHP",#REF!="Ducted ccASHP"),#REF!/12000*(12/#REF!)*kW_CA,0))</f>
        <v>#REF!</v>
      </c>
      <c r="AU30" s="765" t="e">
        <f>IF(#REF!="","",IF(OR(#REF!=""),"",#REF!*(12/#REF!)*kW_RS))</f>
        <v>#REF!</v>
      </c>
      <c r="AV30" s="766" t="e">
        <f>IF(OR(#REF!="",#REF!="",#REF!=""),"",IF(OR(#REF!="Ducted ASHP",#REF!="Ducted ccASHP"),#REF!/12000*(12/#REF!*FLH_Cool)*QI_kWh,0))</f>
        <v>#REF!</v>
      </c>
      <c r="AW30" s="766" t="e">
        <f>IF(OR(#REF!="",#REF!="",#REF!=""),"",IF(OR(#REF!="Ducted ASHP",#REF!="Ducted ccASHP"),#REF!/12000*(12/#REF!*FLH_Heat)*QI_kWh,0))</f>
        <v>#REF!</v>
      </c>
      <c r="AY30" s="100" t="e">
        <f>IF(#REF!="","",INDEX(References!#REF!,MATCH(#REF!,Equipment_Type,0)))</f>
        <v>#REF!</v>
      </c>
      <c r="AZ30" s="100" t="e">
        <f>IF(#REF!="","",INDEX(References!#REF!,MATCH(#REF!,Equipment_Type,0)))</f>
        <v>#REF!</v>
      </c>
      <c r="BB30" s="100" t="e">
        <f>IF(WholeHouse_TF=FALSE,References!#REF!,IF(References!#REF!="New Construction",FLH_Cool,IF(References!#REF!="",0,References!#REF!)))</f>
        <v>#REF!</v>
      </c>
      <c r="BC30" s="100" t="e">
        <f>IF(WholeHouse_TF=FALSE,References!#REF!,IF(References!#REF!="New Construction",FLH_Heat,IF(References!#REF!="",0,References!#REF!)))</f>
        <v>#REF!</v>
      </c>
      <c r="BE30" s="765" t="e">
        <f>IF(OR($AO30="FAIL",#REF!="",AO30="Missing Info",AB30="DNQ"),0,((#REF!/12000)*((12/E30)-(12/O30)))+SUM(AT30:AU30))</f>
        <v>#REF!</v>
      </c>
      <c r="BF30" s="765" t="e">
        <f>IF(OR($AO30="FAIL",#REF!="",AO30="Missing Info",AB30="DNQ"),0,IF(AY30="PTHP",((#REF!/12000)*(12/E30-12/O30)*BB30),(((#REF!/12000)*((12/F30)-(12/N30))*BB30))+AV30))</f>
        <v>#REF!</v>
      </c>
      <c r="BG30" s="765" t="e">
        <f>IF(OR($AO30="FAIL",#REF!="",AO30="Missing Info",AB30="DNQ"),0,BF30*References!$AW$12/1000)</f>
        <v>#REF!</v>
      </c>
      <c r="BH30" s="765" t="e">
        <f>BF30*References!$R$429</f>
        <v>#REF!</v>
      </c>
      <c r="BI30" s="765" t="e">
        <f>IF(OR($AO30="FAIL",#REF!="",AO30="Missing Info",AB30="DNQ",References!#REF!=FALSE),0,((#REF!/12000)*((1/(G30/3.412))-(1/(P30/3.412))))+SUM(AT30:AU30))</f>
        <v>#REF!</v>
      </c>
      <c r="BJ30" s="544" t="e">
        <f>IF(OR($AO30="FAIL",#REF!="",AO30="Missing Info",AB30="DNQ"),0,IF(References!#REF!=FALSE,AW30,((#REF!/12000)*((12/G30)-(12/P30))*BC30*I30)+AW30))</f>
        <v>#REF!</v>
      </c>
      <c r="BK30" s="765" t="e">
        <f>IF(OR($AO30="FAIL",#REF!="",AO30="Missing Info",AB30="DNQ",References!#REF!=FALSE),0,-((#REF!/12000)*(1/(P30/3.412))))</f>
        <v>#REF!</v>
      </c>
      <c r="BL30" s="750" t="e">
        <f>IF(OR($AO30="FAIL",#REF!="",AO30="Missing Info",AB30="DNQ",References!#REF!=FALSE),0,((#REF!/12000)*(12/P30)*(BC30*I30))-(#REF!*BC30/1000000)*References!#REF!*I30)</f>
        <v>#REF!</v>
      </c>
      <c r="BM30" s="750" t="e">
        <f>IF(OR($AO30="FAIL",AO30="Missing Info",#REF!=""),0,IF(References!#REF!=TRUE,BJ30*References!$AW$12/1000,((BJ30-BL30)*References!$AW$12/1000)))</f>
        <v>#REF!</v>
      </c>
      <c r="BN30" s="766" t="e">
        <f>IF(OR($AO30="FAIL",AO30="Missing Info",#REF!=""),0,IF(References!#REF!=TRUE,((#REF!*BC30/References!$AD$21)/1000000)*I30,0))</f>
        <v>#REF!</v>
      </c>
      <c r="BO30" s="766" t="e">
        <f t="shared" si="3"/>
        <v>#REF!</v>
      </c>
      <c r="BP30" s="766" t="e">
        <f>(BJ30-BL30)*References!$R$429</f>
        <v>#REF!</v>
      </c>
      <c r="BQ30" s="766" t="e">
        <f>BN30*References!#REF!*References!$W$88</f>
        <v>#REF!</v>
      </c>
      <c r="BR30" s="765" t="e">
        <f>IF(References!#REF!=TRUE,(BN30*References!#REF!*References!$W$88)-(BL30*References!$R$429),BJ30*References!$R$429)</f>
        <v>#REF!</v>
      </c>
    </row>
    <row r="31" spans="1:70" ht="14.15" hidden="1" customHeight="1">
      <c r="A31" s="100">
        <f t="shared" si="4"/>
        <v>5</v>
      </c>
      <c r="C31" s="748" t="e">
        <f>IF(OR(#REF!="Ducted ccASHP",#REF!="Ductless Mini Split - ccASHP"),"Cold Climate","")</f>
        <v>#REF!</v>
      </c>
      <c r="D31" s="748"/>
      <c r="E31" s="748" t="e">
        <f>IF(OR(#REF!="",#REF!="",NOT(ISNUMBER(#REF!))),IF(Qualifying_Index!AY31="PTHP",References!#REF!,IF(ISERROR(SEARCH("HP",#REF!,1)),References!#REF!,References!#REF!)),#REF!)</f>
        <v>#REF!</v>
      </c>
      <c r="F31" s="749" t="e">
        <f>IF(OR(#REF!="",#REF!="",NOT(ISNUMBER(#REF!))),IF(Qualifying_Index!AY31="PTHP",References!$BE$12,IF(ISERROR(SEARCH("HP",#REF!,1)),References!$BE$10,References!$BE$9)),#REF!)</f>
        <v>#REF!</v>
      </c>
      <c r="G31" s="749" t="e">
        <f>IF(AND(OR(References!#REF!="Electric",References!#REF!="Air Source HP",#REF!="Air Source HP"),#REF!&lt;&gt;""),IF(OR(#REF!="",NOT(ISNUMBER(#REF!))),IF(Qualifying_Index!AY31="PTHP",References!$AD$19,References!$AD$21),#REF!),0)</f>
        <v>#REF!</v>
      </c>
      <c r="H31" s="749"/>
      <c r="I31" s="748" t="e">
        <f>IF(#REF!="","",IF(OR(WholeHouse_TF=FALSE,References!AZ8=TRUE),References!#REF!,1))</f>
        <v>#REF!</v>
      </c>
      <c r="J31" s="748"/>
      <c r="K31" s="748" t="e">
        <f>IF(AND(References!$AC$101=TRUE,OR(AY31&lt;&gt;"PTHP",AY31&lt;&gt;"Ductless",AY31&lt;&gt;"CAC")),#REF!&amp;" EH"&amp;" "&amp;#REF!,L31&amp;" "&amp;#REF!&amp;" "&amp;#REF!&amp;M31)</f>
        <v>#REF!</v>
      </c>
      <c r="L31" s="748" t="e">
        <f>IF(References!#REF!=TRUE,"Whole House",IF(RIGHT(References!#REF!,2)="HP","Retrofit","New"))</f>
        <v>#REF!</v>
      </c>
      <c r="M31" s="748" t="e">
        <f>IF(References!#REF!&lt;&gt;TRUE,"",IF(References!#REF!=2,1,IF(AND(#REF!&lt;&gt;"Central Air Conditioner",#REF!&lt;&gt;"Ducted Air Source HP",References!#REF!="Oil"),2,3)))</f>
        <v>#REF!</v>
      </c>
      <c r="N31" s="544" t="e">
        <f>IF(#REF!="","",#REF!)</f>
        <v>#REF!</v>
      </c>
      <c r="O31" s="544" t="e">
        <f>IF(#REF!="","",#REF!)</f>
        <v>#REF!</v>
      </c>
      <c r="P31" s="544" t="e">
        <f>IF(#REF!="","",#REF!)</f>
        <v>#REF!</v>
      </c>
      <c r="Q31" s="100" t="e">
        <f>IF(#REF!="","",IF(References!$AC$101=TRUE,INDEX(References!#REF!,MATCH(#REF!&amp;" EH",References!#REF!,0)),INDEX(References!#REF!,MATCH(#REF!,References!#REF!,0))))</f>
        <v>#REF!</v>
      </c>
      <c r="R31" s="100" t="e">
        <f>IF(#REF!="","",IF(References!$AC$101=TRUE,INDEX(References!#REF!,MATCH(#REF!&amp;" EH",References!#REF!,0)),INDEX(References!#REF!,MATCH(#REF!,References!#REF!,0))))</f>
        <v>#REF!</v>
      </c>
      <c r="S31" s="100" t="e">
        <f>IF(#REF!="","",IF(References!$AC$101=TRUE,INDEX(References!#REF!,MATCH(#REF!&amp;" EH",References!#REF!,0)),INDEX(References!#REF!,MATCH(#REF!,References!#REF!,0))))</f>
        <v>#REF!</v>
      </c>
      <c r="T31" s="100" t="e">
        <f>IF(#REF!="","",INDEX(References!#REF!,MATCH(#REF!,References!#REF!,0)))</f>
        <v>#REF!</v>
      </c>
      <c r="U31" s="100" t="e">
        <f>IF(#REF!="","",INDEX(References!#REF!,MATCH(#REF!,References!#REF!,0)))</f>
        <v>#REF!</v>
      </c>
      <c r="V31" s="100" t="e">
        <f>IF(#REF!="","",IF(References!$AC$101=TRUE,INDEX(References!$J$26:$J$26,MATCH(#REF!&amp;" EH",References!#REF!,0)),INDEX(References!$J$26:$J$26,MATCH(#REF!,References!#REF!,0))))</f>
        <v>#REF!</v>
      </c>
      <c r="W31" s="100" t="e">
        <f>IF(#REF!="","",IF(References!$AC$101=TRUE,INDEX(References!#REF!,MATCH(#REF!&amp;" EH",References!#REF!,0)),INDEX(References!#REF!,MATCH(#REF!,References!#REF!,0))))</f>
        <v>#REF!</v>
      </c>
      <c r="X31" s="100" t="e">
        <f t="shared" si="0"/>
        <v>#REF!</v>
      </c>
      <c r="Y31" s="100" t="e">
        <f t="shared" si="1"/>
        <v>#REF!</v>
      </c>
      <c r="Z31" s="100" t="e">
        <f>IF(#REF!="","",IF(V31=0,"",IF(AND(P31&lt;V31,P31&lt;W31),"DNQ",IF(P31&gt;=W31,"Tier II","Tier I"))))</f>
        <v>#REF!</v>
      </c>
      <c r="AB31" s="565" t="e">
        <f>IF(OR(X31="DNQ",Y31="DNQ",Z31="DNQ",#REF!="FAIL"),"DNQ",IF(OR(X31="Tier I",Z31="Tier I"),"Tier I",IF(OR(X31="Tier II",Z31="Tier II"),"Tier II","Tier III")))</f>
        <v>#REF!</v>
      </c>
      <c r="AC31" s="100" t="e">
        <f>References!#REF!</f>
        <v>#REF!</v>
      </c>
      <c r="AD31" s="100" t="e">
        <f>IF(#REF!="","",IF(AB31="DNQ","DNQ",INDEX(IF(AC31="Income Eligible ",References!#REF!,References!#REF!),MATCH(K31,References!#REF!,0))*(#REF!/12000)))</f>
        <v>#REF!</v>
      </c>
      <c r="AE31" s="100" t="e">
        <f>IF(#REF!="","",IF(AD31="DNQ",0,INDEX(References!#REF!,MATCH(Qualifying_Index!K31,References!#REF!,0))))</f>
        <v>#REF!</v>
      </c>
      <c r="AF31" s="100" t="e">
        <f t="shared" si="2"/>
        <v>#REF!</v>
      </c>
      <c r="AG31" s="100" t="e">
        <f>IF(COUNTIF(AF27:AF30,1),0,AE31)</f>
        <v>#REF!</v>
      </c>
      <c r="AI31" s="100" t="e">
        <f>((#REF!*0.65))</f>
        <v>#REF!</v>
      </c>
      <c r="AJ31" s="100" t="e">
        <f>((#REF!*1.35))</f>
        <v>#REF!</v>
      </c>
      <c r="AK31" s="100" t="e">
        <f>IF(AND(References!#REF!=TRUE,References!$AC$101=FALSE),(#REF!*1),#REF!*0.65)</f>
        <v>#REF!</v>
      </c>
      <c r="AL31" s="100" t="e">
        <f>IF(AND(References!#REF!=TRUE,References!$AC$101=FALSE),(#REF!*1.3),#REF!*1.35)</f>
        <v>#REF!</v>
      </c>
      <c r="AM31" s="100" t="e">
        <f>IF(AND(#REF!&gt;=Qualifying_Index!AI31,#REF!&lt;=Qualifying_Index!AJ31),"PASS","FAIL")</f>
        <v>#REF!</v>
      </c>
      <c r="AN31" s="565" t="e">
        <f>IF(OR(AK31=0,AL31=0),"FAIL",IF(AND(IF(AND(References!#REF!=TRUE,References!$AC$101=FALSE),#REF!,#REF!)&gt;=AK31,IF(References!#REF!=TRUE,#REF!,#REF!)&lt;=AL31),"PASS","FAIL"))</f>
        <v>#REF!</v>
      </c>
      <c r="AO31" s="565" t="e">
        <f>IF(References!#REF!=TRUE,IF(AND(#REF!="",#REF!=""),"Missing Info",IF(AN31="PASS","PASS","FAIL")),IF(AND(#REF!="",#REF!="",LEFT(#REF!,6)="Ducted"),"Missing Info",IF(OR(AM31="PASS",AN31="PASS",LEFT(#REF!,6)&lt;&gt;"Ducted"),"PASS","FAIL")))</f>
        <v>#REF!</v>
      </c>
      <c r="AQ31" s="100" t="e">
        <f>IF(OR(#REF!="",#REF!="",#REF!="",#REF!="",#REF!="",#REF!="",#REF!="",#REF!="",#REF!="",#REF!=""),"Missing Info","")</f>
        <v>#REF!</v>
      </c>
      <c r="AR31" s="100" t="e">
        <f>IF(AND(AZ31=1,#REF!=""),"Missing Info",IF(AY31="PTHP",AQ31,IF(OR(#REF!="",#REF!="",#REF!="",#REF!="",#REF!="",#REF!="",#REF!="",#REF!="",#REF!="",AO31="Missing Info"),"Missing Info","")))</f>
        <v>#REF!</v>
      </c>
      <c r="AS31" s="100" t="e">
        <f>IF(AND(AZ31=1,#REF!=""),"Missing Info",IF(AY31="PTHP",AQ31,IF(OR(#REF!="",#REF!="",#REF!="",#REF!="",#REF!="",#REF!="",#REF!="",#REF!=""),"Missing Info","")))</f>
        <v>#REF!</v>
      </c>
      <c r="AT31" s="765" t="e">
        <f>IF(OR(#REF!="",#REF!=""),"",IF(OR(#REF!="Ducted ASHP",#REF!="Ducted ccASHP"),#REF!/12000*(12/#REF!)*kW_CA,0))</f>
        <v>#REF!</v>
      </c>
      <c r="AU31" s="765" t="e">
        <f>IF(#REF!="","",IF(OR(#REF!=""),"",#REF!*(12/#REF!)*kW_RS))</f>
        <v>#REF!</v>
      </c>
      <c r="AV31" s="766" t="e">
        <f>IF(OR(#REF!="",#REF!="",#REF!=""),"",IF(OR(#REF!="Ducted ASHP",#REF!="Ducted ccASHP"),#REF!/12000*(12/#REF!*FLH_Cool)*QI_kWh,0))</f>
        <v>#REF!</v>
      </c>
      <c r="AW31" s="766" t="e">
        <f>IF(OR(#REF!="",#REF!="",#REF!=""),"",IF(OR(#REF!="Ducted ASHP",#REF!="Ducted ccASHP"),#REF!/12000*(12/#REF!*FLH_Heat)*QI_kWh,0))</f>
        <v>#REF!</v>
      </c>
      <c r="AY31" s="100" t="e">
        <f>IF(#REF!="","",INDEX(References!#REF!,MATCH(#REF!,Equipment_Type,0)))</f>
        <v>#REF!</v>
      </c>
      <c r="AZ31" s="100" t="e">
        <f>IF(#REF!="","",INDEX(References!#REF!,MATCH(#REF!,Equipment_Type,0)))</f>
        <v>#REF!</v>
      </c>
      <c r="BB31" s="100" t="e">
        <f>IF(WholeHouse_TF=FALSE,References!#REF!,IF(References!#REF!="New Construction",FLH_Cool,IF(References!#REF!="",0,References!#REF!)))</f>
        <v>#REF!</v>
      </c>
      <c r="BC31" s="100" t="e">
        <f>IF(WholeHouse_TF=FALSE,References!#REF!,IF(References!#REF!="New Construction",FLH_Heat,IF(References!#REF!="",0,References!#REF!)))</f>
        <v>#REF!</v>
      </c>
      <c r="BE31" s="765" t="e">
        <f>IF(OR($AO31="FAIL",#REF!="",AO31="Missing Info",AB31="DNQ"),0,((#REF!/12000)*((12/E31)-(12/O31)))+SUM(AT31:AU31))</f>
        <v>#REF!</v>
      </c>
      <c r="BF31" s="765" t="e">
        <f>IF(OR($AO31="FAIL",#REF!="",AO31="Missing Info",AB31="DNQ"),0,IF(AY31="PTHP",((#REF!/12000)*(12/E31-12/O31)*BB31),(((#REF!/12000)*((12/F31)-(12/N31))*BB31))+AV31))</f>
        <v>#REF!</v>
      </c>
      <c r="BG31" s="765" t="e">
        <f>IF(OR($AO31="FAIL",#REF!="",AO31="Missing Info",AB31="DNQ"),0,BF31*References!$AW$12/1000)</f>
        <v>#REF!</v>
      </c>
      <c r="BH31" s="765" t="e">
        <f>BF31*References!$R$429</f>
        <v>#REF!</v>
      </c>
      <c r="BI31" s="765" t="e">
        <f>IF(OR($AO31="FAIL",#REF!="",AO31="Missing Info",AB31="DNQ",References!#REF!=FALSE),0,((#REF!/12000)*((1/(G31/3.412))-(1/(P31/3.412))))+SUM(AT31:AU31))</f>
        <v>#REF!</v>
      </c>
      <c r="BJ31" s="544" t="e">
        <f>IF(OR($AO31="FAIL",#REF!="",AO31="Missing Info",AB31="DNQ"),0,IF(References!#REF!=FALSE,AW31,((#REF!/12000)*((12/G31)-(12/P31))*BC31*I31)+AW31))</f>
        <v>#REF!</v>
      </c>
      <c r="BK31" s="765" t="e">
        <f>IF(OR($AO31="FAIL",#REF!="",AO31="Missing Info",AB31="DNQ",References!#REF!=FALSE),0,-((#REF!/12000)*(1/(P31/3.412))))</f>
        <v>#REF!</v>
      </c>
      <c r="BL31" s="750" t="e">
        <f>IF(OR($AO31="FAIL",#REF!="",AO31="Missing Info",AB31="DNQ",References!#REF!=FALSE),0,((#REF!/12000)*(12/P31)*(BC31*I31))-(#REF!*BC31/1000000)*References!#REF!*I31)</f>
        <v>#REF!</v>
      </c>
      <c r="BM31" s="750" t="e">
        <f>IF(OR($AO31="FAIL",AO31="Missing Info",#REF!=""),0,IF(References!#REF!=TRUE,BJ31*References!$AW$12/1000,((BJ31-BL31)*References!$AW$12/1000)))</f>
        <v>#REF!</v>
      </c>
      <c r="BN31" s="766" t="e">
        <f>IF(OR($AO31="FAIL",AO31="Missing Info",#REF!=""),0,IF(References!#REF!=TRUE,((#REF!*BC31/References!$AD$21)/1000000)*I31,0))</f>
        <v>#REF!</v>
      </c>
      <c r="BO31" s="766" t="e">
        <f t="shared" si="3"/>
        <v>#REF!</v>
      </c>
      <c r="BP31" s="766" t="e">
        <f>(BJ31-BL31)*References!$R$429</f>
        <v>#REF!</v>
      </c>
      <c r="BQ31" s="766" t="e">
        <f>BN31*References!#REF!*References!$W$88</f>
        <v>#REF!</v>
      </c>
      <c r="BR31" s="765" t="e">
        <f>IF(References!#REF!=TRUE,(BN31*References!#REF!*References!$W$88)-(BL31*References!$R$429),BJ31*References!$R$429)</f>
        <v>#REF!</v>
      </c>
    </row>
    <row r="32" spans="1:70" ht="14.15" hidden="1" customHeight="1">
      <c r="A32" s="100">
        <f t="shared" si="4"/>
        <v>6</v>
      </c>
      <c r="C32" s="748" t="e">
        <f>IF(OR(#REF!="Ducted ccASHP",#REF!="Ductless Mini Split - ccASHP"),"Cold Climate","")</f>
        <v>#REF!</v>
      </c>
      <c r="D32" s="748"/>
      <c r="E32" s="748" t="e">
        <f>IF(OR(#REF!="",#REF!="",NOT(ISNUMBER(#REF!))),IF(Qualifying_Index!AY32="PTHP",References!#REF!,IF(ISERROR(SEARCH("HP",#REF!,1)),References!#REF!,References!#REF!)),#REF!)</f>
        <v>#REF!</v>
      </c>
      <c r="F32" s="749" t="e">
        <f>IF(OR(#REF!="",#REF!="",NOT(ISNUMBER(#REF!))),IF(Qualifying_Index!AY32="PTHP",References!$BE$12,IF(ISERROR(SEARCH("HP",#REF!,1)),References!$BE$10,References!$BE$9)),#REF!)</f>
        <v>#REF!</v>
      </c>
      <c r="G32" s="749" t="e">
        <f>IF(AND(OR(References!#REF!="Electric",References!#REF!="Air Source HP",#REF!="Air Source HP"),#REF!&lt;&gt;""),IF(OR(#REF!="",NOT(ISNUMBER(#REF!))),IF(Qualifying_Index!AY32="PTHP",References!$AD$19,References!$AD$21),#REF!),0)</f>
        <v>#REF!</v>
      </c>
      <c r="H32" s="749"/>
      <c r="I32" s="748" t="e">
        <f>IF(#REF!="","",IF(OR(WholeHouse_TF=FALSE,References!AZ9=TRUE),References!#REF!,1))</f>
        <v>#REF!</v>
      </c>
      <c r="J32" s="748"/>
      <c r="K32" s="748" t="e">
        <f>IF(AND(References!$AC$101=TRUE,OR(AY32&lt;&gt;"PTHP",AY32&lt;&gt;"Ductless",AY32&lt;&gt;"CAC")),#REF!&amp;" EH"&amp;" "&amp;#REF!,L32&amp;" "&amp;#REF!&amp;" "&amp;#REF!&amp;M32)</f>
        <v>#REF!</v>
      </c>
      <c r="L32" s="748" t="e">
        <f>IF(References!#REF!=TRUE,"Whole House",IF(RIGHT(References!#REF!,2)="HP","Retrofit","New"))</f>
        <v>#REF!</v>
      </c>
      <c r="M32" s="748" t="e">
        <f>IF(References!#REF!&lt;&gt;TRUE,"",IF(References!#REF!=2,1,IF(AND(#REF!&lt;&gt;"Central Air Conditioner",#REF!&lt;&gt;"Ducted Air Source HP",References!#REF!="Oil"),2,3)))</f>
        <v>#REF!</v>
      </c>
      <c r="N32" s="544" t="e">
        <f>IF(#REF!="","",#REF!)</f>
        <v>#REF!</v>
      </c>
      <c r="O32" s="544" t="e">
        <f>IF(#REF!="","",#REF!)</f>
        <v>#REF!</v>
      </c>
      <c r="P32" s="544" t="e">
        <f>IF(#REF!="","",#REF!)</f>
        <v>#REF!</v>
      </c>
      <c r="Q32" s="100" t="e">
        <f>IF(#REF!="","",IF(References!$AC$101=TRUE,INDEX(References!#REF!,MATCH(#REF!&amp;" EH",References!#REF!,0)),INDEX(References!#REF!,MATCH(#REF!,References!#REF!,0))))</f>
        <v>#REF!</v>
      </c>
      <c r="R32" s="100" t="e">
        <f>IF(#REF!="","",IF(References!$AC$101=TRUE,INDEX(References!#REF!,MATCH(#REF!&amp;" EH",References!#REF!,0)),INDEX(References!#REF!,MATCH(#REF!,References!#REF!,0))))</f>
        <v>#REF!</v>
      </c>
      <c r="S32" s="100" t="e">
        <f>IF(#REF!="","",IF(References!$AC$101=TRUE,INDEX(References!#REF!,MATCH(#REF!&amp;" EH",References!#REF!,0)),INDEX(References!#REF!,MATCH(#REF!,References!#REF!,0))))</f>
        <v>#REF!</v>
      </c>
      <c r="T32" s="100" t="e">
        <f>IF(#REF!="","",INDEX(References!#REF!,MATCH(#REF!,References!#REF!,0)))</f>
        <v>#REF!</v>
      </c>
      <c r="U32" s="100" t="e">
        <f>IF(#REF!="","",INDEX(References!#REF!,MATCH(#REF!,References!#REF!,0)))</f>
        <v>#REF!</v>
      </c>
      <c r="V32" s="100" t="e">
        <f>IF(#REF!="","",IF(References!$AC$101=TRUE,INDEX(References!$J$26:$J$26,MATCH(#REF!&amp;" EH",References!#REF!,0)),INDEX(References!$J$26:$J$26,MATCH(#REF!,References!#REF!,0))))</f>
        <v>#REF!</v>
      </c>
      <c r="W32" s="100" t="e">
        <f>IF(#REF!="","",IF(References!$AC$101=TRUE,INDEX(References!#REF!,MATCH(#REF!&amp;" EH",References!#REF!,0)),INDEX(References!#REF!,MATCH(#REF!,References!#REF!,0))))</f>
        <v>#REF!</v>
      </c>
      <c r="X32" s="100" t="e">
        <f t="shared" si="0"/>
        <v>#REF!</v>
      </c>
      <c r="Y32" s="100" t="e">
        <f t="shared" si="1"/>
        <v>#REF!</v>
      </c>
      <c r="Z32" s="100" t="e">
        <f>IF(#REF!="","",IF(V32=0,"",IF(AND(P32&lt;V32,P32&lt;W32),"DNQ",IF(P32&gt;=W32,"Tier II","Tier I"))))</f>
        <v>#REF!</v>
      </c>
      <c r="AB32" s="565" t="e">
        <f>IF(OR(X32="DNQ",Y32="DNQ",Z32="DNQ",#REF!="FAIL"),"DNQ",IF(OR(X32="Tier I",Z32="Tier I"),"Tier I",IF(OR(X32="Tier II",Z32="Tier II"),"Tier II","Tier III")))</f>
        <v>#REF!</v>
      </c>
      <c r="AC32" s="100" t="e">
        <f>References!#REF!</f>
        <v>#REF!</v>
      </c>
      <c r="AD32" s="100" t="e">
        <f>IF(#REF!="","",IF(AB32="DNQ","DNQ",INDEX(IF(AC32="Income Eligible ",References!#REF!,References!#REF!),MATCH(K32,References!#REF!,0))*(#REF!/12000)))</f>
        <v>#REF!</v>
      </c>
      <c r="AE32" s="100" t="e">
        <f>IF(#REF!="","",IF(AD32="DNQ",0,INDEX(References!#REF!,MATCH(Qualifying_Index!K32,References!#REF!,0))))</f>
        <v>#REF!</v>
      </c>
      <c r="AF32" s="100" t="e">
        <f t="shared" si="2"/>
        <v>#REF!</v>
      </c>
      <c r="AG32" s="100" t="e">
        <f>IF(COUNTIF(AF27:AF31,1),0,AE32)</f>
        <v>#REF!</v>
      </c>
      <c r="AI32" s="100" t="e">
        <f>((#REF!*0.65))</f>
        <v>#REF!</v>
      </c>
      <c r="AJ32" s="100" t="e">
        <f>((#REF!*1.35))</f>
        <v>#REF!</v>
      </c>
      <c r="AK32" s="100" t="e">
        <f>IF(AND(References!#REF!=TRUE,References!$AC$101=FALSE),(#REF!*1),#REF!*0.65)</f>
        <v>#REF!</v>
      </c>
      <c r="AL32" s="100" t="e">
        <f>IF(AND(References!#REF!=TRUE,References!$AC$101=FALSE),(#REF!*1.3),#REF!*1.35)</f>
        <v>#REF!</v>
      </c>
      <c r="AM32" s="100" t="e">
        <f>IF(AND(#REF!&gt;=Qualifying_Index!AI32,#REF!&lt;=Qualifying_Index!AJ32),"PASS","FAIL")</f>
        <v>#REF!</v>
      </c>
      <c r="AN32" s="565" t="e">
        <f>IF(OR(AK32=0,AL32=0),"FAIL",IF(AND(IF(AND(References!#REF!=TRUE,References!$AC$101=FALSE),#REF!,#REF!)&gt;=AK32,IF(References!#REF!=TRUE,#REF!,#REF!)&lt;=AL32),"PASS","FAIL"))</f>
        <v>#REF!</v>
      </c>
      <c r="AO32" s="565" t="e">
        <f>IF(References!#REF!=TRUE,IF(AND(#REF!="",#REF!=""),"Missing Info",IF(AN32="PASS","PASS","FAIL")),IF(AND(#REF!="",#REF!="",LEFT(#REF!,6)="Ducted"),"Missing Info",IF(OR(AM32="PASS",AN32="PASS",LEFT(#REF!,6)&lt;&gt;"Ducted"),"PASS","FAIL")))</f>
        <v>#REF!</v>
      </c>
      <c r="AQ32" s="100" t="e">
        <f>IF(OR(#REF!="",#REF!="",#REF!="",#REF!="",#REF!="",#REF!="",#REF!="",#REF!="",#REF!="",#REF!=""),"Missing Info","")</f>
        <v>#REF!</v>
      </c>
      <c r="AR32" s="100" t="e">
        <f>IF(AND(AZ32=1,#REF!=""),"Missing Info",IF(AY32="PTHP",AQ32,IF(OR(#REF!="",#REF!="",#REF!="",#REF!="",#REF!="",#REF!="",#REF!="",#REF!="",#REF!="",AO32="Missing Info"),"Missing Info","")))</f>
        <v>#REF!</v>
      </c>
      <c r="AS32" s="100" t="e">
        <f>IF(AND(AZ32=1,#REF!=""),"Missing Info",IF(AY32="PTHP",AQ32,IF(OR(#REF!="",#REF!="",#REF!="",#REF!="",#REF!="",#REF!="",#REF!="",#REF!=""),"Missing Info","")))</f>
        <v>#REF!</v>
      </c>
      <c r="AT32" s="765" t="e">
        <f>IF(OR(#REF!="",#REF!=""),"",IF(OR(#REF!="Ducted ASHP",#REF!="Ducted ccASHP"),#REF!/12000*(12/#REF!)*kW_CA,0))</f>
        <v>#REF!</v>
      </c>
      <c r="AU32" s="765" t="e">
        <f>IF(#REF!="","",IF(OR(#REF!=""),"",#REF!*(12/#REF!)*kW_RS))</f>
        <v>#REF!</v>
      </c>
      <c r="AV32" s="766" t="e">
        <f>IF(OR(#REF!="",#REF!="",#REF!=""),"",IF(OR(#REF!="Ducted ASHP",#REF!="Ducted ccASHP"),#REF!/12000*(12/#REF!*FLH_Cool)*QI_kWh,0))</f>
        <v>#REF!</v>
      </c>
      <c r="AW32" s="766" t="e">
        <f>IF(OR(#REF!="",#REF!="",#REF!=""),"",IF(OR(#REF!="Ducted ASHP",#REF!="Ducted ccASHP"),#REF!/12000*(12/#REF!*FLH_Heat)*QI_kWh,0))</f>
        <v>#REF!</v>
      </c>
      <c r="AY32" s="100" t="e">
        <f>IF(#REF!="","",INDEX(References!#REF!,MATCH(#REF!,Equipment_Type,0)))</f>
        <v>#REF!</v>
      </c>
      <c r="AZ32" s="100" t="e">
        <f>IF(#REF!="","",INDEX(References!#REF!,MATCH(#REF!,Equipment_Type,0)))</f>
        <v>#REF!</v>
      </c>
      <c r="BB32" s="100" t="e">
        <f>IF(WholeHouse_TF=FALSE,References!#REF!,IF(References!#REF!="New Construction",FLH_Cool,IF(References!#REF!="",0,References!#REF!)))</f>
        <v>#REF!</v>
      </c>
      <c r="BC32" s="100" t="e">
        <f>IF(WholeHouse_TF=FALSE,References!#REF!,IF(References!#REF!="New Construction",FLH_Heat,IF(References!#REF!="",0,References!#REF!)))</f>
        <v>#REF!</v>
      </c>
      <c r="BE32" s="765" t="e">
        <f>IF(OR($AO32="FAIL",#REF!="",AO32="Missing Info",AB32="DNQ"),0,((#REF!/12000)*((12/E32)-(12/O32)))+SUM(AT32:AU32))</f>
        <v>#REF!</v>
      </c>
      <c r="BF32" s="765" t="e">
        <f>IF(OR($AO32="FAIL",#REF!="",AO32="Missing Info",AB32="DNQ"),0,IF(AY32="PTHP",((#REF!/12000)*(12/E32-12/O32)*BB32),(((#REF!/12000)*((12/F32)-(12/N32))*BB32))+AV32))</f>
        <v>#REF!</v>
      </c>
      <c r="BG32" s="765" t="e">
        <f>IF(OR($AO32="FAIL",#REF!="",AO32="Missing Info",AB32="DNQ"),0,BF32*References!$AW$12/1000)</f>
        <v>#REF!</v>
      </c>
      <c r="BH32" s="765" t="e">
        <f>BF32*References!$R$429</f>
        <v>#REF!</v>
      </c>
      <c r="BI32" s="765" t="e">
        <f>IF(OR($AO32="FAIL",#REF!="",AO32="Missing Info",AB32="DNQ",References!#REF!=FALSE),0,((#REF!/12000)*((1/(G32/3.412))-(1/(P32/3.412))))+SUM(AT32:AU32))</f>
        <v>#REF!</v>
      </c>
      <c r="BJ32" s="544" t="e">
        <f>IF(OR($AO32="FAIL",#REF!="",AO32="Missing Info",AB32="DNQ"),0,IF(References!#REF!=FALSE,AW32,((#REF!/12000)*((12/G32)-(12/P32))*BC32*I32)+AW32))</f>
        <v>#REF!</v>
      </c>
      <c r="BK32" s="765" t="e">
        <f>IF(OR($AO32="FAIL",#REF!="",AO32="Missing Info",AB32="DNQ",References!#REF!=FALSE),0,-((#REF!/12000)*(1/(P32/3.412))))</f>
        <v>#REF!</v>
      </c>
      <c r="BL32" s="750" t="e">
        <f>IF(OR($AO32="FAIL",#REF!="",AO32="Missing Info",AB32="DNQ",References!#REF!=FALSE),0,((#REF!/12000)*(12/P32)*(BC32*I32))-(#REF!*BC32/1000000)*References!#REF!*I32)</f>
        <v>#REF!</v>
      </c>
      <c r="BM32" s="750" t="e">
        <f>IF(OR($AO32="FAIL",AO32="Missing Info",#REF!=""),0,IF(References!#REF!=TRUE,BJ32*References!$AW$12/1000,((BJ32-BL32)*References!$AW$12/1000)))</f>
        <v>#REF!</v>
      </c>
      <c r="BN32" s="766" t="e">
        <f>IF(OR($AO32="FAIL",AO32="Missing Info",#REF!=""),0,IF(References!#REF!=TRUE,((#REF!*BC32/References!$AD$21)/1000000)*I32,0))</f>
        <v>#REF!</v>
      </c>
      <c r="BO32" s="766" t="e">
        <f t="shared" si="3"/>
        <v>#REF!</v>
      </c>
      <c r="BP32" s="766" t="e">
        <f>(BJ32-BL32)*References!$R$429</f>
        <v>#REF!</v>
      </c>
      <c r="BQ32" s="766" t="e">
        <f>BN32*References!#REF!*References!$W$88</f>
        <v>#REF!</v>
      </c>
      <c r="BR32" s="765" t="e">
        <f>IF(References!#REF!=TRUE,(BN32*References!#REF!*References!$W$88)-(BL32*References!$R$429),BJ32*References!$R$429)</f>
        <v>#REF!</v>
      </c>
    </row>
    <row r="33" spans="1:70" ht="14.15" hidden="1" customHeight="1">
      <c r="A33" s="100">
        <f t="shared" si="4"/>
        <v>7</v>
      </c>
      <c r="C33" s="748" t="e">
        <f>IF(OR(#REF!="Ducted ccASHP",#REF!="Ductless Mini Split - ccASHP"),"Cold Climate","")</f>
        <v>#REF!</v>
      </c>
      <c r="D33" s="748"/>
      <c r="E33" s="748" t="e">
        <f>IF(OR(#REF!="",#REF!="",NOT(ISNUMBER(#REF!))),IF(Qualifying_Index!AY33="PTHP",References!#REF!,IF(ISERROR(SEARCH("HP",#REF!,1)),References!#REF!,References!#REF!)),#REF!)</f>
        <v>#REF!</v>
      </c>
      <c r="F33" s="749" t="e">
        <f>IF(OR(#REF!="",#REF!="",NOT(ISNUMBER(#REF!))),IF(Qualifying_Index!AY33="PTHP",References!$BE$12,IF(ISERROR(SEARCH("HP",#REF!,1)),References!$BE$10,References!$BE$9)),#REF!)</f>
        <v>#REF!</v>
      </c>
      <c r="G33" s="749" t="e">
        <f>IF(AND(OR(References!#REF!="Electric",References!#REF!="Air Source HP",#REF!="Air Source HP"),#REF!&lt;&gt;""),IF(OR(#REF!="",NOT(ISNUMBER(#REF!))),IF(Qualifying_Index!AY33="PTHP",References!$AD$19,References!$AD$21),#REF!),0)</f>
        <v>#REF!</v>
      </c>
      <c r="H33" s="749"/>
      <c r="I33" s="748" t="e">
        <f>IF(#REF!="","",IF(OR(WholeHouse_TF=FALSE,References!AZ10=TRUE),References!#REF!,1))</f>
        <v>#REF!</v>
      </c>
      <c r="J33" s="748"/>
      <c r="K33" s="748" t="e">
        <f>IF(AND(References!$AC$101=TRUE,OR(AY33&lt;&gt;"PTHP",AY33&lt;&gt;"Ductless",AY33&lt;&gt;"CAC")),#REF!&amp;" EH"&amp;" "&amp;#REF!,L33&amp;" "&amp;#REF!&amp;" "&amp;#REF!&amp;M33)</f>
        <v>#REF!</v>
      </c>
      <c r="L33" s="748" t="e">
        <f>IF(References!#REF!=TRUE,"Whole House",IF(RIGHT(References!#REF!,2)="HP","Retrofit","New"))</f>
        <v>#REF!</v>
      </c>
      <c r="M33" s="748" t="e">
        <f>IF(References!#REF!&lt;&gt;TRUE,"",IF(References!#REF!=2,1,IF(AND(#REF!&lt;&gt;"Central Air Conditioner",#REF!&lt;&gt;"Ducted Air Source HP",References!#REF!="Oil"),2,3)))</f>
        <v>#REF!</v>
      </c>
      <c r="N33" s="544" t="e">
        <f>IF(#REF!="","",#REF!)</f>
        <v>#REF!</v>
      </c>
      <c r="O33" s="544" t="e">
        <f>IF(#REF!="","",#REF!)</f>
        <v>#REF!</v>
      </c>
      <c r="P33" s="544" t="e">
        <f>IF(#REF!="","",#REF!)</f>
        <v>#REF!</v>
      </c>
      <c r="Q33" s="100" t="e">
        <f>IF(#REF!="","",IF(References!$AC$101=TRUE,INDEX(References!#REF!,MATCH(#REF!&amp;" EH",References!#REF!,0)),INDEX(References!#REF!,MATCH(#REF!,References!#REF!,0))))</f>
        <v>#REF!</v>
      </c>
      <c r="R33" s="100" t="e">
        <f>IF(#REF!="","",IF(References!$AC$101=TRUE,INDEX(References!#REF!,MATCH(#REF!&amp;" EH",References!#REF!,0)),INDEX(References!#REF!,MATCH(#REF!,References!#REF!,0))))</f>
        <v>#REF!</v>
      </c>
      <c r="S33" s="100" t="e">
        <f>IF(#REF!="","",IF(References!$AC$101=TRUE,INDEX(References!#REF!,MATCH(#REF!&amp;" EH",References!#REF!,0)),INDEX(References!#REF!,MATCH(#REF!,References!#REF!,0))))</f>
        <v>#REF!</v>
      </c>
      <c r="T33" s="100" t="e">
        <f>IF(#REF!="","",INDEX(References!#REF!,MATCH(#REF!,References!#REF!,0)))</f>
        <v>#REF!</v>
      </c>
      <c r="U33" s="100" t="e">
        <f>IF(#REF!="","",INDEX(References!#REF!,MATCH(#REF!,References!#REF!,0)))</f>
        <v>#REF!</v>
      </c>
      <c r="V33" s="100" t="e">
        <f>IF(#REF!="","",IF(References!$AC$101=TRUE,INDEX(References!$J$26:$J$26,MATCH(#REF!&amp;" EH",References!#REF!,0)),INDEX(References!$J$26:$J$26,MATCH(#REF!,References!#REF!,0))))</f>
        <v>#REF!</v>
      </c>
      <c r="W33" s="100" t="e">
        <f>IF(#REF!="","",IF(References!$AC$101=TRUE,INDEX(References!#REF!,MATCH(#REF!&amp;" EH",References!#REF!,0)),INDEX(References!#REF!,MATCH(#REF!,References!#REF!,0))))</f>
        <v>#REF!</v>
      </c>
      <c r="X33" s="100" t="e">
        <f t="shared" si="0"/>
        <v>#REF!</v>
      </c>
      <c r="Y33" s="100" t="e">
        <f t="shared" si="1"/>
        <v>#REF!</v>
      </c>
      <c r="Z33" s="100" t="e">
        <f>IF(#REF!="","",IF(V33=0,"",IF(AND(P33&lt;V33,P33&lt;W33),"DNQ",IF(P33&gt;=W33,"Tier II","Tier I"))))</f>
        <v>#REF!</v>
      </c>
      <c r="AB33" s="565" t="e">
        <f>IF(OR(X33="DNQ",Y33="DNQ",Z33="DNQ",#REF!="FAIL"),"DNQ",IF(OR(X33="Tier I",Z33="Tier I"),"Tier I",IF(OR(X33="Tier II",Z33="Tier II"),"Tier II","Tier III")))</f>
        <v>#REF!</v>
      </c>
      <c r="AC33" s="100" t="e">
        <f>References!#REF!</f>
        <v>#REF!</v>
      </c>
      <c r="AD33" s="100" t="e">
        <f>IF(#REF!="","",IF(AB33="DNQ","DNQ",INDEX(IF(AC33="Income Eligible ",References!#REF!,References!#REF!),MATCH(K33,References!#REF!,0))*(#REF!/12000)))</f>
        <v>#REF!</v>
      </c>
      <c r="AE33" s="100" t="e">
        <f>IF(#REF!="","",IF(AD33="DNQ",0,INDEX(References!#REF!,MATCH(Qualifying_Index!K33,References!#REF!,0))))</f>
        <v>#REF!</v>
      </c>
      <c r="AF33" s="100" t="e">
        <f t="shared" si="2"/>
        <v>#REF!</v>
      </c>
      <c r="AG33" s="100" t="e">
        <f>IF(COUNTIF(AF27:AF32,1),0,AE33)</f>
        <v>#REF!</v>
      </c>
      <c r="AI33" s="100" t="e">
        <f>((#REF!*0.65))</f>
        <v>#REF!</v>
      </c>
      <c r="AJ33" s="100" t="e">
        <f>((#REF!*1.35))</f>
        <v>#REF!</v>
      </c>
      <c r="AK33" s="100" t="e">
        <f>IF(AND(References!#REF!=TRUE,References!$AC$101=FALSE),(#REF!*1),#REF!*0.65)</f>
        <v>#REF!</v>
      </c>
      <c r="AL33" s="100" t="e">
        <f>IF(AND(References!#REF!=TRUE,References!$AC$101=FALSE),(#REF!*1.3),#REF!*1.35)</f>
        <v>#REF!</v>
      </c>
      <c r="AM33" s="100" t="e">
        <f>IF(AND(#REF!&gt;=Qualifying_Index!AI33,#REF!&lt;=Qualifying_Index!AJ33),"PASS","FAIL")</f>
        <v>#REF!</v>
      </c>
      <c r="AN33" s="565" t="e">
        <f>IF(OR(AK33=0,AL33=0),"FAIL",IF(AND(IF(AND(References!#REF!=TRUE,References!$AC$101=FALSE),#REF!,#REF!)&gt;=AK33,IF(References!#REF!=TRUE,#REF!,#REF!)&lt;=AL33),"PASS","FAIL"))</f>
        <v>#REF!</v>
      </c>
      <c r="AO33" s="565" t="e">
        <f>IF(References!#REF!=TRUE,IF(AND(#REF!="",#REF!=""),"Missing Info",IF(AN33="PASS","PASS","FAIL")),IF(AND(#REF!="",#REF!="",LEFT(#REF!,6)="Ducted"),"Missing Info",IF(OR(AM33="PASS",AN33="PASS",LEFT(#REF!,6)&lt;&gt;"Ducted"),"PASS","FAIL")))</f>
        <v>#REF!</v>
      </c>
      <c r="AQ33" s="100" t="e">
        <f>IF(OR(#REF!="",#REF!="",#REF!="",#REF!="",#REF!="",#REF!="",#REF!="",#REF!="",#REF!="",#REF!=""),"Missing Info","")</f>
        <v>#REF!</v>
      </c>
      <c r="AR33" s="100" t="e">
        <f>IF(AND(AZ33=1,#REF!=""),"Missing Info",IF(AY33="PTHP",AQ33,IF(OR(#REF!="",#REF!="",#REF!="",#REF!="",#REF!="",#REF!="",#REF!="",#REF!="",#REF!="",AO33="Missing Info"),"Missing Info","")))</f>
        <v>#REF!</v>
      </c>
      <c r="AS33" s="100" t="e">
        <f>IF(AND(AZ33=1,#REF!=""),"Missing Info",IF(AY33="PTHP",AQ33,IF(OR(#REF!="",#REF!="",#REF!="",#REF!="",#REF!="",#REF!="",#REF!="",#REF!=""),"Missing Info","")))</f>
        <v>#REF!</v>
      </c>
      <c r="AT33" s="765" t="e">
        <f>IF(OR(#REF!="",#REF!=""),"",IF(OR(#REF!="Ducted ASHP",#REF!="Ducted ccASHP"),#REF!/12000*(12/#REF!)*kW_CA,0))</f>
        <v>#REF!</v>
      </c>
      <c r="AU33" s="765" t="e">
        <f>IF(#REF!="","",IF(OR(#REF!=""),"",#REF!*(12/#REF!)*kW_RS))</f>
        <v>#REF!</v>
      </c>
      <c r="AV33" s="766" t="e">
        <f>IF(OR(#REF!="",#REF!="",#REF!=""),"",IF(OR(#REF!="Ducted ASHP",#REF!="Ducted ccASHP"),#REF!/12000*(12/#REF!*FLH_Cool)*QI_kWh,0))</f>
        <v>#REF!</v>
      </c>
      <c r="AW33" s="766" t="e">
        <f>IF(OR(#REF!="",#REF!="",#REF!=""),"",IF(OR(#REF!="Ducted ASHP",#REF!="Ducted ccASHP"),#REF!/12000*(12/#REF!*FLH_Heat)*QI_kWh,0))</f>
        <v>#REF!</v>
      </c>
      <c r="AY33" s="100" t="e">
        <f>IF(#REF!="","",INDEX(References!#REF!,MATCH(#REF!,Equipment_Type,0)))</f>
        <v>#REF!</v>
      </c>
      <c r="AZ33" s="100" t="e">
        <f>IF(#REF!="","",INDEX(References!#REF!,MATCH(#REF!,Equipment_Type,0)))</f>
        <v>#REF!</v>
      </c>
      <c r="BB33" s="100" t="e">
        <f>IF(WholeHouse_TF=FALSE,References!#REF!,IF(References!#REF!="New Construction",FLH_Cool,IF(References!#REF!="",0,References!#REF!)))</f>
        <v>#REF!</v>
      </c>
      <c r="BC33" s="100" t="e">
        <f>IF(WholeHouse_TF=FALSE,References!#REF!,IF(References!#REF!="New Construction",FLH_Heat,IF(References!#REF!="",0,References!#REF!)))</f>
        <v>#REF!</v>
      </c>
      <c r="BE33" s="765" t="e">
        <f>IF(OR($AO33="FAIL",#REF!="",AO33="Missing Info",AB33="DNQ"),0,((#REF!/12000)*((12/E33)-(12/O33)))+SUM(AT33:AU33))</f>
        <v>#REF!</v>
      </c>
      <c r="BF33" s="765" t="e">
        <f>IF(OR($AO33="FAIL",#REF!="",AO33="Missing Info",AB33="DNQ"),0,IF(AY33="PTHP",((#REF!/12000)*(12/E33-12/O33)*BB33),(((#REF!/12000)*((12/F33)-(12/N33))*BB33))+AV33))</f>
        <v>#REF!</v>
      </c>
      <c r="BG33" s="765" t="e">
        <f>IF(OR($AO33="FAIL",#REF!="",AO33="Missing Info",AB33="DNQ"),0,BF33*References!$AW$12/1000)</f>
        <v>#REF!</v>
      </c>
      <c r="BH33" s="765" t="e">
        <f>BF33*References!$R$429</f>
        <v>#REF!</v>
      </c>
      <c r="BI33" s="765" t="e">
        <f>IF(OR($AO33="FAIL",#REF!="",AO33="Missing Info",AB33="DNQ",References!#REF!=FALSE),0,((#REF!/12000)*((1/(G33/3.412))-(1/(P33/3.412))))+SUM(AT33:AU33))</f>
        <v>#REF!</v>
      </c>
      <c r="BJ33" s="544" t="e">
        <f>IF(OR($AO33="FAIL",#REF!="",AO33="Missing Info",AB33="DNQ"),0,IF(References!#REF!=FALSE,AW33,((#REF!/12000)*((12/G33)-(12/P33))*BC33*I33)+AW33))</f>
        <v>#REF!</v>
      </c>
      <c r="BK33" s="765" t="e">
        <f>IF(OR($AO33="FAIL",#REF!="",AO33="Missing Info",AB33="DNQ",References!#REF!=FALSE),0,-((#REF!/12000)*(1/(P33/3.412))))</f>
        <v>#REF!</v>
      </c>
      <c r="BL33" s="750" t="e">
        <f>IF(OR($AO33="FAIL",#REF!="",AO33="Missing Info",AB33="DNQ",References!#REF!=FALSE),0,((#REF!/12000)*(12/P33)*(BC33*I33))-(#REF!*BC33/1000000)*References!#REF!*I33)</f>
        <v>#REF!</v>
      </c>
      <c r="BM33" s="750" t="e">
        <f>IF(OR($AO33="FAIL",AO33="Missing Info",#REF!=""),0,IF(References!#REF!=TRUE,BJ33*References!$AW$12/1000,((BJ33-BL33)*References!$AW$12/1000)))</f>
        <v>#REF!</v>
      </c>
      <c r="BN33" s="766" t="e">
        <f>IF(OR($AO33="FAIL",AO33="Missing Info",#REF!=""),0,IF(References!#REF!=TRUE,((#REF!*BC33/References!$AD$21)/1000000)*I33,0))</f>
        <v>#REF!</v>
      </c>
      <c r="BO33" s="766" t="e">
        <f t="shared" si="3"/>
        <v>#REF!</v>
      </c>
      <c r="BP33" s="766" t="e">
        <f>(BJ33-BL33)*References!$R$429</f>
        <v>#REF!</v>
      </c>
      <c r="BQ33" s="766" t="e">
        <f>BN33*References!#REF!*References!$W$88</f>
        <v>#REF!</v>
      </c>
      <c r="BR33" s="765" t="e">
        <f>IF(References!#REF!=TRUE,(BN33*References!#REF!*References!$W$88)-(BL33*References!$R$429),BJ33*References!$R$429)</f>
        <v>#REF!</v>
      </c>
    </row>
    <row r="34" spans="1:70" ht="14.15" hidden="1" customHeight="1">
      <c r="A34" s="100">
        <f t="shared" si="4"/>
        <v>8</v>
      </c>
      <c r="C34" s="748" t="e">
        <f>IF(OR(#REF!="Ducted ccASHP",#REF!="Ductless Mini Split - ccASHP"),"Cold Climate","")</f>
        <v>#REF!</v>
      </c>
      <c r="D34" s="748"/>
      <c r="E34" s="748" t="e">
        <f>IF(OR(#REF!="",#REF!="",NOT(ISNUMBER(#REF!))),IF(Qualifying_Index!AY34="PTHP",References!#REF!,IF(ISERROR(SEARCH("HP",#REF!,1)),References!#REF!,References!#REF!)),#REF!)</f>
        <v>#REF!</v>
      </c>
      <c r="F34" s="749" t="e">
        <f>IF(OR(#REF!="",#REF!="",NOT(ISNUMBER(#REF!))),IF(Qualifying_Index!AY34="PTHP",References!$BE$12,IF(ISERROR(SEARCH("HP",#REF!,1)),References!$BE$10,References!$BE$9)),#REF!)</f>
        <v>#REF!</v>
      </c>
      <c r="G34" s="749" t="e">
        <f>IF(AND(OR(References!#REF!="Electric",References!#REF!="Air Source HP",#REF!="Air Source HP"),#REF!&lt;&gt;""),IF(OR(#REF!="",NOT(ISNUMBER(#REF!))),IF(Qualifying_Index!AY34="PTHP",References!$AD$19,References!$AD$21),#REF!),0)</f>
        <v>#REF!</v>
      </c>
      <c r="H34" s="749"/>
      <c r="I34" s="748" t="e">
        <f>IF(#REF!="","",IF(OR(WholeHouse_TF=FALSE,References!AZ11=TRUE),References!#REF!,1))</f>
        <v>#REF!</v>
      </c>
      <c r="J34" s="748"/>
      <c r="K34" s="748" t="e">
        <f>IF(AND(References!$AC$101=TRUE,OR(AY34&lt;&gt;"PTHP",AY34&lt;&gt;"Ductless",AY34&lt;&gt;"CAC")),#REF!&amp;" EH"&amp;" "&amp;#REF!,L34&amp;" "&amp;#REF!&amp;" "&amp;#REF!&amp;M34)</f>
        <v>#REF!</v>
      </c>
      <c r="L34" s="748" t="e">
        <f>IF(References!#REF!=TRUE,"Whole House",IF(RIGHT(References!#REF!,2)="HP","Retrofit","New"))</f>
        <v>#REF!</v>
      </c>
      <c r="M34" s="748" t="e">
        <f>IF(References!#REF!&lt;&gt;TRUE,"",IF(References!#REF!=2,1,IF(AND(#REF!&lt;&gt;"Central Air Conditioner",#REF!&lt;&gt;"Ducted Air Source HP",References!#REF!="Oil"),2,3)))</f>
        <v>#REF!</v>
      </c>
      <c r="N34" s="544" t="e">
        <f>IF(#REF!="","",#REF!)</f>
        <v>#REF!</v>
      </c>
      <c r="O34" s="544" t="e">
        <f>IF(#REF!="","",#REF!)</f>
        <v>#REF!</v>
      </c>
      <c r="P34" s="544" t="e">
        <f>IF(#REF!="","",#REF!)</f>
        <v>#REF!</v>
      </c>
      <c r="Q34" s="100" t="e">
        <f>IF(#REF!="","",IF(References!$AC$101=TRUE,INDEX(References!#REF!,MATCH(#REF!&amp;" EH",References!#REF!,0)),INDEX(References!#REF!,MATCH(#REF!,References!#REF!,0))))</f>
        <v>#REF!</v>
      </c>
      <c r="R34" s="100" t="e">
        <f>IF(#REF!="","",IF(References!$AC$101=TRUE,INDEX(References!#REF!,MATCH(#REF!&amp;" EH",References!#REF!,0)),INDEX(References!#REF!,MATCH(#REF!,References!#REF!,0))))</f>
        <v>#REF!</v>
      </c>
      <c r="S34" s="100" t="e">
        <f>IF(#REF!="","",IF(References!$AC$101=TRUE,INDEX(References!#REF!,MATCH(#REF!&amp;" EH",References!#REF!,0)),INDEX(References!#REF!,MATCH(#REF!,References!#REF!,0))))</f>
        <v>#REF!</v>
      </c>
      <c r="T34" s="100" t="e">
        <f>IF(#REF!="","",INDEX(References!#REF!,MATCH(#REF!,References!#REF!,0)))</f>
        <v>#REF!</v>
      </c>
      <c r="U34" s="100" t="e">
        <f>IF(#REF!="","",INDEX(References!#REF!,MATCH(#REF!,References!#REF!,0)))</f>
        <v>#REF!</v>
      </c>
      <c r="V34" s="100" t="e">
        <f>IF(#REF!="","",IF(References!$AC$101=TRUE,INDEX(References!$J$26:$J$26,MATCH(#REF!&amp;" EH",References!#REF!,0)),INDEX(References!$J$26:$J$26,MATCH(#REF!,References!#REF!,0))))</f>
        <v>#REF!</v>
      </c>
      <c r="W34" s="100" t="e">
        <f>IF(#REF!="","",IF(References!$AC$101=TRUE,INDEX(References!#REF!,MATCH(#REF!&amp;" EH",References!#REF!,0)),INDEX(References!#REF!,MATCH(#REF!,References!#REF!,0))))</f>
        <v>#REF!</v>
      </c>
      <c r="X34" s="100" t="e">
        <f t="shared" si="0"/>
        <v>#REF!</v>
      </c>
      <c r="Y34" s="100" t="e">
        <f t="shared" si="1"/>
        <v>#REF!</v>
      </c>
      <c r="Z34" s="100" t="e">
        <f>IF(#REF!="","",IF(V34=0,"",IF(AND(P34&lt;V34,P34&lt;W34),"DNQ",IF(P34&gt;=W34,"Tier II","Tier I"))))</f>
        <v>#REF!</v>
      </c>
      <c r="AB34" s="565" t="e">
        <f>IF(OR(X34="DNQ",Y34="DNQ",Z34="DNQ",#REF!="FAIL"),"DNQ",IF(OR(X34="Tier I",Z34="Tier I"),"Tier I",IF(OR(X34="Tier II",Z34="Tier II"),"Tier II","Tier III")))</f>
        <v>#REF!</v>
      </c>
      <c r="AC34" s="100" t="e">
        <f>References!#REF!</f>
        <v>#REF!</v>
      </c>
      <c r="AD34" s="100" t="e">
        <f>IF(#REF!="","",IF(AB34="DNQ","DNQ",INDEX(IF(AC34="Income Eligible ",References!#REF!,References!#REF!),MATCH(K34,References!#REF!,0))*(#REF!/12000)))</f>
        <v>#REF!</v>
      </c>
      <c r="AE34" s="100" t="e">
        <f>IF(#REF!="","",IF(AD34="DNQ",0,INDEX(References!#REF!,MATCH(Qualifying_Index!K34,References!#REF!,0))))</f>
        <v>#REF!</v>
      </c>
      <c r="AF34" s="100" t="e">
        <f t="shared" si="2"/>
        <v>#REF!</v>
      </c>
      <c r="AG34" s="100" t="e">
        <f>IF(COUNTIF(AF27:AF33,1),0,AE34)</f>
        <v>#REF!</v>
      </c>
      <c r="AI34" s="100" t="e">
        <f>((#REF!*0.65))</f>
        <v>#REF!</v>
      </c>
      <c r="AJ34" s="100" t="e">
        <f>((#REF!*1.35))</f>
        <v>#REF!</v>
      </c>
      <c r="AK34" s="100" t="e">
        <f>IF(AND(References!#REF!=TRUE,References!$AC$101=FALSE),(#REF!*1),#REF!*0.65)</f>
        <v>#REF!</v>
      </c>
      <c r="AL34" s="100" t="e">
        <f>IF(AND(References!#REF!=TRUE,References!$AC$101=FALSE),(#REF!*1.3),#REF!*1.35)</f>
        <v>#REF!</v>
      </c>
      <c r="AM34" s="100" t="e">
        <f>IF(AND(#REF!&gt;=Qualifying_Index!AI34,#REF!&lt;=Qualifying_Index!AJ34),"PASS","FAIL")</f>
        <v>#REF!</v>
      </c>
      <c r="AN34" s="565" t="e">
        <f>IF(OR(AK34=0,AL34=0),"FAIL",IF(AND(IF(AND(References!#REF!=TRUE,References!$AC$101=FALSE),#REF!,#REF!)&gt;=AK34,IF(References!#REF!=TRUE,#REF!,#REF!)&lt;=AL34),"PASS","FAIL"))</f>
        <v>#REF!</v>
      </c>
      <c r="AO34" s="565" t="e">
        <f>IF(References!#REF!=TRUE,IF(AND(#REF!="",#REF!=""),"Missing Info",IF(AN34="PASS","PASS","FAIL")),IF(AND(#REF!="",#REF!="",LEFT(#REF!,6)="Ducted"),"Missing Info",IF(OR(AM34="PASS",AN34="PASS",LEFT(#REF!,6)&lt;&gt;"Ducted"),"PASS","FAIL")))</f>
        <v>#REF!</v>
      </c>
      <c r="AQ34" s="100" t="e">
        <f>IF(OR(#REF!="",#REF!="",#REF!="",#REF!="",#REF!="",#REF!="",#REF!="",#REF!="",#REF!="",#REF!=""),"Missing Info","")</f>
        <v>#REF!</v>
      </c>
      <c r="AR34" s="100" t="e">
        <f>IF(AND(AZ34=1,#REF!=""),"Missing Info",IF(AY34="PTHP",AQ34,IF(OR(#REF!="",#REF!="",#REF!="",#REF!="",#REF!="",#REF!="",#REF!="",#REF!="",#REF!="",AO34="Missing Info"),"Missing Info","")))</f>
        <v>#REF!</v>
      </c>
      <c r="AS34" s="100" t="e">
        <f>IF(AND(AZ34=1,#REF!=""),"Missing Info",IF(AY34="PTHP",AQ34,IF(OR(#REF!="",#REF!="",#REF!="",#REF!="",#REF!="",#REF!="",#REF!="",#REF!=""),"Missing Info","")))</f>
        <v>#REF!</v>
      </c>
      <c r="AT34" s="765" t="e">
        <f>IF(OR(#REF!="",#REF!=""),"",IF(OR(#REF!="Ducted ASHP",#REF!="Ducted ccASHP"),#REF!/12000*(12/#REF!)*kW_CA,0))</f>
        <v>#REF!</v>
      </c>
      <c r="AU34" s="765" t="e">
        <f>IF(#REF!="","",IF(OR(#REF!=""),"",#REF!*(12/#REF!)*kW_RS))</f>
        <v>#REF!</v>
      </c>
      <c r="AV34" s="766" t="e">
        <f>IF(OR(#REF!="",#REF!="",#REF!=""),"",IF(OR(#REF!="Ducted ASHP",#REF!="Ducted ccASHP"),#REF!/12000*(12/#REF!*FLH_Cool)*QI_kWh,0))</f>
        <v>#REF!</v>
      </c>
      <c r="AW34" s="766" t="e">
        <f>IF(OR(#REF!="",#REF!="",#REF!=""),"",IF(OR(#REF!="Ducted ASHP",#REF!="Ducted ccASHP"),#REF!/12000*(12/#REF!*FLH_Heat)*QI_kWh,0))</f>
        <v>#REF!</v>
      </c>
      <c r="AY34" s="100" t="e">
        <f>IF(#REF!="","",INDEX(References!#REF!,MATCH(#REF!,Equipment_Type,0)))</f>
        <v>#REF!</v>
      </c>
      <c r="AZ34" s="100" t="e">
        <f>IF(#REF!="","",INDEX(References!#REF!,MATCH(#REF!,Equipment_Type,0)))</f>
        <v>#REF!</v>
      </c>
      <c r="BB34" s="100" t="e">
        <f>IF(WholeHouse_TF=FALSE,References!#REF!,IF(References!#REF!="New Construction",FLH_Cool,IF(References!#REF!="",0,References!#REF!)))</f>
        <v>#REF!</v>
      </c>
      <c r="BC34" s="100" t="e">
        <f>IF(WholeHouse_TF=FALSE,References!#REF!,IF(References!#REF!="New Construction",FLH_Heat,IF(References!#REF!="",0,References!#REF!)))</f>
        <v>#REF!</v>
      </c>
      <c r="BE34" s="765" t="e">
        <f>IF(OR($AO34="FAIL",#REF!="",AO34="Missing Info",AB34="DNQ"),0,((#REF!/12000)*((12/E34)-(12/O34)))+SUM(AT34:AU34))</f>
        <v>#REF!</v>
      </c>
      <c r="BF34" s="765" t="e">
        <f>IF(OR($AO34="FAIL",#REF!="",AO34="Missing Info",AB34="DNQ"),0,IF(AY34="PTHP",((#REF!/12000)*(12/E34-12/O34)*BB34),(((#REF!/12000)*((12/F34)-(12/N34))*BB34))+AV34))</f>
        <v>#REF!</v>
      </c>
      <c r="BG34" s="765" t="e">
        <f>IF(OR($AO34="FAIL",#REF!="",AO34="Missing Info",AB34="DNQ"),0,BF34*References!$AW$12/1000)</f>
        <v>#REF!</v>
      </c>
      <c r="BH34" s="765" t="e">
        <f>BF34*References!$R$429</f>
        <v>#REF!</v>
      </c>
      <c r="BI34" s="765" t="e">
        <f>IF(OR($AO34="FAIL",#REF!="",AO34="Missing Info",AB34="DNQ",References!#REF!=FALSE),0,((#REF!/12000)*((1/(G34/3.412))-(1/(P34/3.412))))+SUM(AT34:AU34))</f>
        <v>#REF!</v>
      </c>
      <c r="BJ34" s="544" t="e">
        <f>IF(OR($AO34="FAIL",#REF!="",AO34="Missing Info",AB34="DNQ"),0,IF(References!#REF!=FALSE,AW34,((#REF!/12000)*((12/G34)-(12/P34))*BC34*I34)+AW34))</f>
        <v>#REF!</v>
      </c>
      <c r="BK34" s="765" t="e">
        <f>IF(OR($AO34="FAIL",#REF!="",AO34="Missing Info",AB34="DNQ",References!#REF!=FALSE),0,-((#REF!/12000)*(1/(P34/3.412))))</f>
        <v>#REF!</v>
      </c>
      <c r="BL34" s="750" t="e">
        <f>IF(OR($AO34="FAIL",#REF!="",AO34="Missing Info",AB34="DNQ",References!#REF!=FALSE),0,((#REF!/12000)*(12/P34)*(BC34*I34))-(#REF!*BC34/1000000)*References!#REF!*I34)</f>
        <v>#REF!</v>
      </c>
      <c r="BM34" s="750" t="e">
        <f>IF(OR($AO34="FAIL",AO34="Missing Info",#REF!=""),0,IF(References!#REF!=TRUE,BJ34*References!$AW$12/1000,((BJ34-BL34)*References!$AW$12/1000)))</f>
        <v>#REF!</v>
      </c>
      <c r="BN34" s="766" t="e">
        <f>IF(OR($AO34="FAIL",AO34="Missing Info",#REF!=""),0,IF(References!#REF!=TRUE,((#REF!*BC34/References!$AD$21)/1000000)*I34,0))</f>
        <v>#REF!</v>
      </c>
      <c r="BO34" s="766" t="e">
        <f t="shared" si="3"/>
        <v>#REF!</v>
      </c>
      <c r="BP34" s="766" t="e">
        <f>(BJ34-BL34)*References!$R$429</f>
        <v>#REF!</v>
      </c>
      <c r="BQ34" s="766" t="e">
        <f>BN34*References!#REF!*References!$W$88</f>
        <v>#REF!</v>
      </c>
      <c r="BR34" s="765" t="e">
        <f>IF(References!#REF!=TRUE,(BN34*References!#REF!*References!$W$88)-(BL34*References!$R$429),BJ34*References!$R$429)</f>
        <v>#REF!</v>
      </c>
    </row>
    <row r="35" spans="1:70" ht="14.15" hidden="1" customHeight="1">
      <c r="A35" s="100">
        <f t="shared" si="4"/>
        <v>9</v>
      </c>
      <c r="C35" s="748" t="e">
        <f>IF(OR(#REF!="Ducted ccASHP",#REF!="Ductless Mini Split - ccASHP"),"Cold Climate","")</f>
        <v>#REF!</v>
      </c>
      <c r="D35" s="748"/>
      <c r="E35" s="748" t="e">
        <f>IF(OR(#REF!="",#REF!="",NOT(ISNUMBER(#REF!))),IF(Qualifying_Index!AY35="PTHP",References!#REF!,IF(ISERROR(SEARCH("HP",#REF!,1)),References!#REF!,References!#REF!)),#REF!)</f>
        <v>#REF!</v>
      </c>
      <c r="F35" s="749" t="e">
        <f>IF(OR(#REF!="",#REF!="",NOT(ISNUMBER(#REF!))),IF(Qualifying_Index!AY35="PTHP",References!$BE$12,IF(ISERROR(SEARCH("HP",#REF!,1)),References!$BE$10,References!$BE$9)),#REF!)</f>
        <v>#REF!</v>
      </c>
      <c r="G35" s="749" t="e">
        <f>IF(AND(OR(References!#REF!="Electric",References!#REF!="Air Source HP",#REF!="Air Source HP"),#REF!&lt;&gt;""),IF(OR(#REF!="",NOT(ISNUMBER(#REF!))),IF(Qualifying_Index!AY35="PTHP",References!$AD$19,References!$AD$21),#REF!),0)</f>
        <v>#REF!</v>
      </c>
      <c r="H35" s="749"/>
      <c r="I35" s="748" t="e">
        <f>IF(#REF!="","",IF(OR(WholeHouse_TF=FALSE,References!AZ12=TRUE),References!#REF!,1))</f>
        <v>#REF!</v>
      </c>
      <c r="J35" s="748"/>
      <c r="K35" s="748" t="e">
        <f>IF(AND(References!$AC$101=TRUE,OR(AY35&lt;&gt;"PTHP",AY35&lt;&gt;"Ductless",AY35&lt;&gt;"CAC")),#REF!&amp;" EH"&amp;" "&amp;#REF!,L35&amp;" "&amp;#REF!&amp;" "&amp;#REF!&amp;M35)</f>
        <v>#REF!</v>
      </c>
      <c r="L35" s="748" t="e">
        <f>IF(References!#REF!=TRUE,"Whole House",IF(RIGHT(References!#REF!,2)="HP","Retrofit","New"))</f>
        <v>#REF!</v>
      </c>
      <c r="M35" s="748" t="e">
        <f>IF(References!#REF!&lt;&gt;TRUE,"",IF(References!#REF!=2,1,IF(AND(#REF!&lt;&gt;"Central Air Conditioner",#REF!&lt;&gt;"Ducted Air Source HP",References!#REF!="Oil"),2,3)))</f>
        <v>#REF!</v>
      </c>
      <c r="N35" s="544" t="e">
        <f>IF(#REF!="","",#REF!)</f>
        <v>#REF!</v>
      </c>
      <c r="O35" s="544" t="e">
        <f>IF(#REF!="","",#REF!)</f>
        <v>#REF!</v>
      </c>
      <c r="P35" s="544" t="e">
        <f>IF(#REF!="","",#REF!)</f>
        <v>#REF!</v>
      </c>
      <c r="Q35" s="100" t="e">
        <f>IF(#REF!="","",IF(References!$AC$101=TRUE,INDEX(References!#REF!,MATCH(#REF!&amp;" EH",References!#REF!,0)),INDEX(References!#REF!,MATCH(#REF!,References!#REF!,0))))</f>
        <v>#REF!</v>
      </c>
      <c r="R35" s="100" t="e">
        <f>IF(#REF!="","",IF(References!$AC$101=TRUE,INDEX(References!#REF!,MATCH(#REF!&amp;" EH",References!#REF!,0)),INDEX(References!#REF!,MATCH(#REF!,References!#REF!,0))))</f>
        <v>#REF!</v>
      </c>
      <c r="S35" s="100" t="e">
        <f>IF(#REF!="","",IF(References!$AC$101=TRUE,INDEX(References!#REF!,MATCH(#REF!&amp;" EH",References!#REF!,0)),INDEX(References!#REF!,MATCH(#REF!,References!#REF!,0))))</f>
        <v>#REF!</v>
      </c>
      <c r="T35" s="100" t="e">
        <f>IF(#REF!="","",INDEX(References!#REF!,MATCH(#REF!,References!#REF!,0)))</f>
        <v>#REF!</v>
      </c>
      <c r="U35" s="100" t="e">
        <f>IF(#REF!="","",INDEX(References!#REF!,MATCH(#REF!,References!#REF!,0)))</f>
        <v>#REF!</v>
      </c>
      <c r="V35" s="100" t="e">
        <f>IF(#REF!="","",IF(References!$AC$101=TRUE,INDEX(References!$J$26:$J$26,MATCH(#REF!&amp;" EH",References!#REF!,0)),INDEX(References!$J$26:$J$26,MATCH(#REF!,References!#REF!,0))))</f>
        <v>#REF!</v>
      </c>
      <c r="W35" s="100" t="e">
        <f>IF(#REF!="","",IF(References!$AC$101=TRUE,INDEX(References!#REF!,MATCH(#REF!&amp;" EH",References!#REF!,0)),INDEX(References!#REF!,MATCH(#REF!,References!#REF!,0))))</f>
        <v>#REF!</v>
      </c>
      <c r="X35" s="100" t="e">
        <f t="shared" si="0"/>
        <v>#REF!</v>
      </c>
      <c r="Y35" s="100" t="e">
        <f t="shared" si="1"/>
        <v>#REF!</v>
      </c>
      <c r="Z35" s="100" t="e">
        <f>IF(#REF!="","",IF(V35=0,"",IF(AND(P35&lt;V35,P35&lt;W35),"DNQ",IF(P35&gt;=W35,"Tier II","Tier I"))))</f>
        <v>#REF!</v>
      </c>
      <c r="AB35" s="565" t="e">
        <f>IF(OR(X35="DNQ",Y35="DNQ",Z35="DNQ",#REF!="FAIL"),"DNQ",IF(OR(X35="Tier I",Z35="Tier I"),"Tier I",IF(OR(X35="Tier II",Z35="Tier II"),"Tier II","Tier III")))</f>
        <v>#REF!</v>
      </c>
      <c r="AC35" s="100" t="e">
        <f>References!#REF!</f>
        <v>#REF!</v>
      </c>
      <c r="AD35" s="100" t="e">
        <f>IF(#REF!="","",IF(AB35="DNQ","DNQ",INDEX(IF(AC35="Income Eligible ",References!#REF!,References!#REF!),MATCH(K35,References!#REF!,0))*(#REF!/12000)))</f>
        <v>#REF!</v>
      </c>
      <c r="AE35" s="100" t="e">
        <f>IF(#REF!="","",IF(AD35="DNQ",0,INDEX(References!#REF!,MATCH(Qualifying_Index!K35,References!#REF!,0))))</f>
        <v>#REF!</v>
      </c>
      <c r="AF35" s="100" t="e">
        <f t="shared" si="2"/>
        <v>#REF!</v>
      </c>
      <c r="AG35" s="100" t="e">
        <f>IF(COUNTIF(AF27:AF34,1),0,AE35)</f>
        <v>#REF!</v>
      </c>
      <c r="AI35" s="100" t="e">
        <f>((#REF!*0.65))</f>
        <v>#REF!</v>
      </c>
      <c r="AJ35" s="100" t="e">
        <f>((#REF!*1.35))</f>
        <v>#REF!</v>
      </c>
      <c r="AK35" s="100" t="e">
        <f>IF(AND(References!#REF!=TRUE,References!$AC$101=FALSE),(#REF!*1),#REF!*0.65)</f>
        <v>#REF!</v>
      </c>
      <c r="AL35" s="100" t="e">
        <f>IF(AND(References!#REF!=TRUE,References!$AC$101=FALSE),(#REF!*1.3),#REF!*1.35)</f>
        <v>#REF!</v>
      </c>
      <c r="AM35" s="100" t="e">
        <f>IF(AND(#REF!&gt;=Qualifying_Index!AI35,#REF!&lt;=Qualifying_Index!AJ35),"PASS","FAIL")</f>
        <v>#REF!</v>
      </c>
      <c r="AN35" s="565" t="e">
        <f>IF(OR(AK35=0,AL35=0),"FAIL",IF(AND(IF(AND(References!#REF!=TRUE,References!$AC$101=FALSE),#REF!,#REF!)&gt;=AK35,IF(References!#REF!=TRUE,#REF!,#REF!)&lt;=AL35),"PASS","FAIL"))</f>
        <v>#REF!</v>
      </c>
      <c r="AO35" s="565" t="e">
        <f>IF(References!#REF!=TRUE,IF(AND(#REF!="",#REF!=""),"Missing Info",IF(AN35="PASS","PASS","FAIL")),IF(AND(#REF!="",#REF!="",LEFT(#REF!,6)="Ducted"),"Missing Info",IF(OR(AM35="PASS",AN35="PASS",LEFT(#REF!,6)&lt;&gt;"Ducted"),"PASS","FAIL")))</f>
        <v>#REF!</v>
      </c>
      <c r="AQ35" s="100" t="e">
        <f>IF(OR(#REF!="",#REF!="",#REF!="",#REF!="",#REF!="",#REF!="",#REF!="",#REF!="",#REF!="",#REF!=""),"Missing Info","")</f>
        <v>#REF!</v>
      </c>
      <c r="AR35" s="100" t="e">
        <f>IF(AND(AZ35=1,#REF!=""),"Missing Info",IF(AY35="PTHP",AQ35,IF(OR(#REF!="",#REF!="",#REF!="",#REF!="",#REF!="",#REF!="",#REF!="",#REF!="",#REF!="",AO35="Missing Info"),"Missing Info","")))</f>
        <v>#REF!</v>
      </c>
      <c r="AS35" s="100" t="e">
        <f>IF(AND(AZ35=1,#REF!=""),"Missing Info",IF(AY35="PTHP",AQ35,IF(OR(#REF!="",#REF!="",#REF!="",#REF!="",#REF!="",#REF!="",#REF!="",#REF!=""),"Missing Info","")))</f>
        <v>#REF!</v>
      </c>
      <c r="AT35" s="765" t="e">
        <f>IF(OR(#REF!="",#REF!=""),"",IF(OR(#REF!="Ducted ASHP",#REF!="Ducted ccASHP"),#REF!/12000*(12/#REF!)*kW_CA,0))</f>
        <v>#REF!</v>
      </c>
      <c r="AU35" s="765" t="e">
        <f>IF(#REF!="","",IF(OR(#REF!=""),"",#REF!*(12/#REF!)*kW_RS))</f>
        <v>#REF!</v>
      </c>
      <c r="AV35" s="766" t="e">
        <f>IF(OR(#REF!="",#REF!="",#REF!=""),"",IF(OR(#REF!="Ducted ASHP",#REF!="Ducted ccASHP"),#REF!/12000*(12/#REF!*FLH_Cool)*QI_kWh,0))</f>
        <v>#REF!</v>
      </c>
      <c r="AW35" s="766" t="e">
        <f>IF(OR(#REF!="",#REF!="",#REF!=""),"",IF(OR(#REF!="Ducted ASHP",#REF!="Ducted ccASHP"),#REF!/12000*(12/#REF!*FLH_Heat)*QI_kWh,0))</f>
        <v>#REF!</v>
      </c>
      <c r="AY35" s="100" t="e">
        <f>IF(#REF!="","",INDEX(References!#REF!,MATCH(#REF!,Equipment_Type,0)))</f>
        <v>#REF!</v>
      </c>
      <c r="AZ35" s="100" t="e">
        <f>IF(#REF!="","",INDEX(References!#REF!,MATCH(#REF!,Equipment_Type,0)))</f>
        <v>#REF!</v>
      </c>
      <c r="BB35" s="100" t="e">
        <f>IF(WholeHouse_TF=FALSE,References!#REF!,IF(References!#REF!="New Construction",FLH_Cool,IF(References!#REF!="",0,References!#REF!)))</f>
        <v>#REF!</v>
      </c>
      <c r="BC35" s="100" t="e">
        <f>IF(WholeHouse_TF=FALSE,References!#REF!,IF(References!#REF!="New Construction",FLH_Heat,IF(References!#REF!="",0,References!#REF!)))</f>
        <v>#REF!</v>
      </c>
      <c r="BE35" s="765" t="e">
        <f>IF(OR($AO35="FAIL",#REF!="",AO35="Missing Info",AB35="DNQ"),0,((#REF!/12000)*((12/E35)-(12/O35)))+SUM(AT35:AU35))</f>
        <v>#REF!</v>
      </c>
      <c r="BF35" s="765" t="e">
        <f>IF(OR($AO35="FAIL",#REF!="",AO35="Missing Info",AB35="DNQ"),0,IF(AY35="PTHP",((#REF!/12000)*(12/E35-12/O35)*BB35),(((#REF!/12000)*((12/F35)-(12/N35))*BB35))+AV35))</f>
        <v>#REF!</v>
      </c>
      <c r="BG35" s="765" t="e">
        <f>IF(OR($AO35="FAIL",#REF!="",AO35="Missing Info",AB35="DNQ"),0,BF35*References!$AW$12/1000)</f>
        <v>#REF!</v>
      </c>
      <c r="BH35" s="765" t="e">
        <f>BF35*References!$R$429</f>
        <v>#REF!</v>
      </c>
      <c r="BI35" s="765" t="e">
        <f>IF(OR($AO35="FAIL",#REF!="",AO35="Missing Info",AB35="DNQ",References!#REF!=FALSE),0,((#REF!/12000)*((1/(G35/3.412))-(1/(P35/3.412))))+SUM(AT35:AU35))</f>
        <v>#REF!</v>
      </c>
      <c r="BJ35" s="544" t="e">
        <f>IF(OR($AO35="FAIL",#REF!="",AO35="Missing Info",AB35="DNQ"),0,IF(References!#REF!=FALSE,AW35,((#REF!/12000)*((12/G35)-(12/P35))*BC35*I35)+AW35))</f>
        <v>#REF!</v>
      </c>
      <c r="BK35" s="765" t="e">
        <f>IF(OR($AO35="FAIL",#REF!="",AO35="Missing Info",AB35="DNQ",References!#REF!=FALSE),0,-((#REF!/12000)*(1/(P35/3.412))))</f>
        <v>#REF!</v>
      </c>
      <c r="BL35" s="750" t="e">
        <f>IF(OR($AO35="FAIL",#REF!="",AO35="Missing Info",AB35="DNQ",References!#REF!=FALSE),0,((#REF!/12000)*(12/P35)*(BC35*I35))-(#REF!*BC35/1000000)*References!#REF!*I35)</f>
        <v>#REF!</v>
      </c>
      <c r="BM35" s="750" t="e">
        <f>IF(OR($AO35="FAIL",AO35="Missing Info",#REF!=""),0,IF(References!#REF!=TRUE,BJ35*References!$AW$12/1000,((BJ35-BL35)*References!$AW$12/1000)))</f>
        <v>#REF!</v>
      </c>
      <c r="BN35" s="766" t="e">
        <f>IF(OR($AO35="FAIL",AO35="Missing Info",#REF!=""),0,IF(References!#REF!=TRUE,((#REF!*BC35/References!$AD$21)/1000000)*I35,0))</f>
        <v>#REF!</v>
      </c>
      <c r="BO35" s="766" t="e">
        <f t="shared" si="3"/>
        <v>#REF!</v>
      </c>
      <c r="BP35" s="766" t="e">
        <f>(BJ35-BL35)*References!$R$429</f>
        <v>#REF!</v>
      </c>
      <c r="BQ35" s="766" t="e">
        <f>BN35*References!#REF!*References!$W$88</f>
        <v>#REF!</v>
      </c>
      <c r="BR35" s="765" t="e">
        <f>IF(References!#REF!=TRUE,(BN35*References!#REF!*References!$W$88)-(BL35*References!$R$429),BJ35*References!$R$429)</f>
        <v>#REF!</v>
      </c>
    </row>
    <row r="36" spans="1:70" ht="14.15" hidden="1" customHeight="1">
      <c r="A36" s="100">
        <f t="shared" si="4"/>
        <v>10</v>
      </c>
      <c r="C36" s="748" t="e">
        <f>IF(OR(#REF!="Ducted ccASHP",#REF!="Ductless Mini Split - ccASHP"),"Cold Climate","")</f>
        <v>#REF!</v>
      </c>
      <c r="D36" s="748"/>
      <c r="E36" s="748" t="e">
        <f>IF(OR(#REF!="",#REF!="",NOT(ISNUMBER(#REF!))),IF(Qualifying_Index!AY36="PTHP",References!#REF!,IF(ISERROR(SEARCH("HP",#REF!,1)),References!#REF!,References!#REF!)),#REF!)</f>
        <v>#REF!</v>
      </c>
      <c r="F36" s="749" t="e">
        <f>IF(OR(#REF!="",#REF!="",NOT(ISNUMBER(#REF!))),IF(Qualifying_Index!AY36="PTHP",References!$BE$12,IF(ISERROR(SEARCH("HP",#REF!,1)),References!$BE$10,References!$BE$9)),#REF!)</f>
        <v>#REF!</v>
      </c>
      <c r="G36" s="749" t="e">
        <f>IF(AND(OR(References!#REF!="Electric",References!#REF!="Air Source HP",#REF!="Air Source HP"),#REF!&lt;&gt;""),IF(OR(#REF!="",NOT(ISNUMBER(#REF!))),IF(Qualifying_Index!AY36="PTHP",References!$AD$19,References!$AD$21),#REF!),0)</f>
        <v>#REF!</v>
      </c>
      <c r="H36" s="749"/>
      <c r="I36" s="748" t="e">
        <f>IF(#REF!="","",IF(OR(WholeHouse_TF=FALSE,References!AZ13=TRUE),References!#REF!,1))</f>
        <v>#REF!</v>
      </c>
      <c r="J36" s="748"/>
      <c r="K36" s="748" t="e">
        <f>IF(AND(References!$AC$101=TRUE,OR(AY36&lt;&gt;"PTHP",AY36&lt;&gt;"Ductless",AY36&lt;&gt;"CAC")),#REF!&amp;" EH"&amp;" "&amp;#REF!,L36&amp;" "&amp;#REF!&amp;" "&amp;#REF!&amp;M36)</f>
        <v>#REF!</v>
      </c>
      <c r="L36" s="748" t="e">
        <f>IF(References!#REF!=TRUE,"Whole House",IF(RIGHT(References!#REF!,2)="HP","Retrofit","New"))</f>
        <v>#REF!</v>
      </c>
      <c r="M36" s="748" t="e">
        <f>IF(References!#REF!&lt;&gt;TRUE,"",IF(References!#REF!=2,1,IF(AND(#REF!&lt;&gt;"Central Air Conditioner",#REF!&lt;&gt;"Ducted Air Source HP",References!#REF!="Oil"),2,3)))</f>
        <v>#REF!</v>
      </c>
      <c r="N36" s="544" t="e">
        <f>IF(#REF!="","",#REF!)</f>
        <v>#REF!</v>
      </c>
      <c r="O36" s="544" t="e">
        <f>IF(#REF!="","",#REF!)</f>
        <v>#REF!</v>
      </c>
      <c r="P36" s="544" t="e">
        <f>IF(#REF!="","",#REF!)</f>
        <v>#REF!</v>
      </c>
      <c r="Q36" s="100" t="e">
        <f>IF(#REF!="","",IF(References!$AC$101=TRUE,INDEX(References!#REF!,MATCH(#REF!&amp;" EH",References!#REF!,0)),INDEX(References!#REF!,MATCH(#REF!,References!#REF!,0))))</f>
        <v>#REF!</v>
      </c>
      <c r="R36" s="100" t="e">
        <f>IF(#REF!="","",IF(References!$AC$101=TRUE,INDEX(References!#REF!,MATCH(#REF!&amp;" EH",References!#REF!,0)),INDEX(References!#REF!,MATCH(#REF!,References!#REF!,0))))</f>
        <v>#REF!</v>
      </c>
      <c r="S36" s="100" t="e">
        <f>IF(#REF!="","",IF(References!$AC$101=TRUE,INDEX(References!#REF!,MATCH(#REF!&amp;" EH",References!#REF!,0)),INDEX(References!#REF!,MATCH(#REF!,References!#REF!,0))))</f>
        <v>#REF!</v>
      </c>
      <c r="T36" s="100" t="e">
        <f>IF(#REF!="","",INDEX(References!#REF!,MATCH(#REF!,References!#REF!,0)))</f>
        <v>#REF!</v>
      </c>
      <c r="U36" s="100" t="e">
        <f>IF(#REF!="","",INDEX(References!#REF!,MATCH(#REF!,References!#REF!,0)))</f>
        <v>#REF!</v>
      </c>
      <c r="V36" s="100" t="e">
        <f>IF(#REF!="","",IF(References!$AC$101=TRUE,INDEX(References!$J$26:$J$26,MATCH(#REF!&amp;" EH",References!#REF!,0)),INDEX(References!$J$26:$J$26,MATCH(#REF!,References!#REF!,0))))</f>
        <v>#REF!</v>
      </c>
      <c r="W36" s="100" t="e">
        <f>IF(#REF!="","",IF(References!$AC$101=TRUE,INDEX(References!#REF!,MATCH(#REF!&amp;" EH",References!#REF!,0)),INDEX(References!#REF!,MATCH(#REF!,References!#REF!,0))))</f>
        <v>#REF!</v>
      </c>
      <c r="X36" s="100" t="e">
        <f t="shared" si="0"/>
        <v>#REF!</v>
      </c>
      <c r="Y36" s="100" t="e">
        <f t="shared" si="1"/>
        <v>#REF!</v>
      </c>
      <c r="Z36" s="100" t="e">
        <f>IF(#REF!="","",IF(V36=0,"",IF(AND(P36&lt;V36,P36&lt;W36),"DNQ",IF(P36&gt;=W36,"Tier II","Tier I"))))</f>
        <v>#REF!</v>
      </c>
      <c r="AB36" s="565" t="e">
        <f>IF(OR(X36="DNQ",Y36="DNQ",Z36="DNQ",#REF!="FAIL"),"DNQ",IF(OR(X36="Tier I",Z36="Tier I"),"Tier I",IF(OR(X36="Tier II",Z36="Tier II"),"Tier II","Tier III")))</f>
        <v>#REF!</v>
      </c>
      <c r="AC36" s="100" t="e">
        <f>References!#REF!</f>
        <v>#REF!</v>
      </c>
      <c r="AD36" s="100" t="e">
        <f>IF(#REF!="","",IF(AB36="DNQ","DNQ",INDEX(IF(AC36="Income Eligible ",References!#REF!,References!#REF!),MATCH(K36,References!#REF!,0))*(#REF!/12000)))</f>
        <v>#REF!</v>
      </c>
      <c r="AE36" s="100" t="e">
        <f>IF(#REF!="","",IF(AD36="DNQ",0,INDEX(References!#REF!,MATCH(Qualifying_Index!K36,References!#REF!,0))))</f>
        <v>#REF!</v>
      </c>
      <c r="AF36" s="100" t="e">
        <f t="shared" si="2"/>
        <v>#REF!</v>
      </c>
      <c r="AG36" s="100" t="e">
        <f>IF(COUNTIF(AF27:AF35,1),0,AE36)</f>
        <v>#REF!</v>
      </c>
      <c r="AI36" s="100" t="e">
        <f>((#REF!*0.65))</f>
        <v>#REF!</v>
      </c>
      <c r="AJ36" s="100" t="e">
        <f>((#REF!*1.35))</f>
        <v>#REF!</v>
      </c>
      <c r="AK36" s="100" t="e">
        <f>IF(AND(References!#REF!=TRUE,References!$AC$101=FALSE),(#REF!*1),#REF!*0.65)</f>
        <v>#REF!</v>
      </c>
      <c r="AL36" s="100" t="e">
        <f>IF(AND(References!#REF!=TRUE,References!$AC$101=FALSE),(#REF!*1.3),#REF!*1.35)</f>
        <v>#REF!</v>
      </c>
      <c r="AM36" s="100" t="e">
        <f>IF(AND(#REF!&gt;=Qualifying_Index!AI36,#REF!&lt;=Qualifying_Index!AJ36),"PASS","FAIL")</f>
        <v>#REF!</v>
      </c>
      <c r="AN36" s="565" t="e">
        <f>IF(OR(AK36=0,AL36=0),"FAIL",IF(AND(IF(AND(References!#REF!=TRUE,References!$AC$101=FALSE),#REF!,#REF!)&gt;=AK36,IF(References!#REF!=TRUE,#REF!,#REF!)&lt;=AL36),"PASS","FAIL"))</f>
        <v>#REF!</v>
      </c>
      <c r="AO36" s="565" t="e">
        <f>IF(References!#REF!=TRUE,IF(AND(#REF!="",#REF!=""),"Missing Info",IF(AN36="PASS","PASS","FAIL")),IF(AND(#REF!="",#REF!="",LEFT(#REF!,6)="Ducted"),"Missing Info",IF(OR(AM36="PASS",AN36="PASS",LEFT(#REF!,6)&lt;&gt;"Ducted"),"PASS","FAIL")))</f>
        <v>#REF!</v>
      </c>
      <c r="AQ36" s="100" t="e">
        <f>IF(OR(#REF!="",#REF!="",#REF!="",#REF!="",#REF!="",#REF!="",#REF!="",#REF!="",#REF!="",#REF!=""),"Missing Info","")</f>
        <v>#REF!</v>
      </c>
      <c r="AR36" s="100" t="e">
        <f>IF(AND(AZ36=1,#REF!=""),"Missing Info",IF(AY36="PTHP",AQ36,IF(OR(#REF!="",#REF!="",#REF!="",#REF!="",#REF!="",#REF!="",#REF!="",#REF!="",#REF!="",AO36="Missing Info"),"Missing Info","")))</f>
        <v>#REF!</v>
      </c>
      <c r="AS36" s="100" t="e">
        <f>IF(AND(AZ36=1,#REF!=""),"Missing Info",IF(AY36="PTHP",AQ36,IF(OR(#REF!="",#REF!="",#REF!="",#REF!="",#REF!="",#REF!="",#REF!="",#REF!=""),"Missing Info","")))</f>
        <v>#REF!</v>
      </c>
      <c r="AT36" s="765" t="e">
        <f>IF(OR(#REF!="",#REF!=""),"",IF(OR(#REF!="Ducted ASHP",#REF!="Ducted ccASHP"),#REF!/12000*(12/#REF!)*kW_CA,0))</f>
        <v>#REF!</v>
      </c>
      <c r="AU36" s="765" t="e">
        <f>IF(#REF!="","",IF(OR(#REF!=""),"",#REF!*(12/#REF!)*kW_RS))</f>
        <v>#REF!</v>
      </c>
      <c r="AV36" s="766" t="e">
        <f>IF(OR(#REF!="",#REF!="",#REF!=""),"",IF(OR(#REF!="Ducted ASHP",#REF!="Ducted ccASHP"),#REF!/12000*(12/#REF!*FLH_Cool)*QI_kWh,0))</f>
        <v>#REF!</v>
      </c>
      <c r="AW36" s="766" t="e">
        <f>IF(OR(#REF!="",#REF!="",#REF!=""),"",IF(OR(#REF!="Ducted ASHP",#REF!="Ducted ccASHP"),#REF!/12000*(12/#REF!*FLH_Heat)*QI_kWh,0))</f>
        <v>#REF!</v>
      </c>
      <c r="AY36" s="100" t="e">
        <f>IF(#REF!="","",INDEX(References!#REF!,MATCH(#REF!,Equipment_Type,0)))</f>
        <v>#REF!</v>
      </c>
      <c r="AZ36" s="100" t="e">
        <f>IF(#REF!="","",INDEX(References!#REF!,MATCH(#REF!,Equipment_Type,0)))</f>
        <v>#REF!</v>
      </c>
      <c r="BB36" s="100" t="e">
        <f>IF(WholeHouse_TF=FALSE,References!#REF!,IF(References!#REF!="New Construction",FLH_Cool,IF(References!#REF!="",0,References!#REF!)))</f>
        <v>#REF!</v>
      </c>
      <c r="BC36" s="100" t="e">
        <f>IF(WholeHouse_TF=FALSE,References!#REF!,IF(References!#REF!="New Construction",FLH_Heat,IF(References!#REF!="",0,References!#REF!)))</f>
        <v>#REF!</v>
      </c>
      <c r="BE36" s="765" t="e">
        <f>IF(OR($AO36="FAIL",#REF!="",AO36="Missing Info",AB36="DNQ"),0,((#REF!/12000)*((12/E36)-(12/O36)))+SUM(AT36:AU36))</f>
        <v>#REF!</v>
      </c>
      <c r="BF36" s="765" t="e">
        <f>IF(OR($AO36="FAIL",#REF!="",AO36="Missing Info",AB36="DNQ"),0,IF(AY36="PTHP",((#REF!/12000)*(12/E36-12/O36)*BB36),(((#REF!/12000)*((12/F36)-(12/N36))*BB36))+AV36))</f>
        <v>#REF!</v>
      </c>
      <c r="BG36" s="765" t="e">
        <f>IF(OR($AO36="FAIL",#REF!="",AO36="Missing Info",AB36="DNQ"),0,BF36*References!$AW$12/1000)</f>
        <v>#REF!</v>
      </c>
      <c r="BH36" s="765" t="e">
        <f>BF36*References!$R$429</f>
        <v>#REF!</v>
      </c>
      <c r="BI36" s="765" t="e">
        <f>IF(OR($AO36="FAIL",#REF!="",AO36="Missing Info",AB36="DNQ",References!#REF!=FALSE),0,((#REF!/12000)*((1/(G36/3.412))-(1/(P36/3.412))))+SUM(AT36:AU36))</f>
        <v>#REF!</v>
      </c>
      <c r="BJ36" s="544" t="e">
        <f>IF(OR($AO36="FAIL",#REF!="",AO36="Missing Info",AB36="DNQ"),0,IF(References!#REF!=FALSE,AW36,((#REF!/12000)*((12/G36)-(12/P36))*BC36*I36)+AW36))</f>
        <v>#REF!</v>
      </c>
      <c r="BK36" s="765" t="e">
        <f>IF(OR($AO36="FAIL",#REF!="",AO36="Missing Info",AB36="DNQ",References!#REF!=FALSE),0,-((#REF!/12000)*(1/(P36/3.412))))</f>
        <v>#REF!</v>
      </c>
      <c r="BL36" s="750" t="e">
        <f>IF(OR($AO36="FAIL",#REF!="",AO36="Missing Info",AB36="DNQ",References!#REF!=FALSE),0,((#REF!/12000)*(12/P36)*(BC36*I36))-(#REF!*BC36/1000000)*References!#REF!*I36)</f>
        <v>#REF!</v>
      </c>
      <c r="BM36" s="750" t="e">
        <f>IF(OR($AO36="FAIL",AO36="Missing Info",#REF!=""),0,IF(References!#REF!=TRUE,BJ36*References!$AW$12/1000,((BJ36-BL36)*References!$AW$12/1000)))</f>
        <v>#REF!</v>
      </c>
      <c r="BN36" s="766" t="e">
        <f>IF(OR($AO36="FAIL",AO36="Missing Info",#REF!=""),0,IF(References!#REF!=TRUE,((#REF!*BC36/References!$AD$21)/1000000)*I36,0))</f>
        <v>#REF!</v>
      </c>
      <c r="BO36" s="766" t="e">
        <f t="shared" si="3"/>
        <v>#REF!</v>
      </c>
      <c r="BP36" s="766" t="e">
        <f>(BJ36-BL36)*References!$R$429</f>
        <v>#REF!</v>
      </c>
      <c r="BQ36" s="766" t="e">
        <f>BN36*References!#REF!*References!$W$88</f>
        <v>#REF!</v>
      </c>
      <c r="BR36" s="765" t="e">
        <f>IF(References!#REF!=TRUE,(BN36*References!#REF!*References!$W$88)-(BL36*References!$R$429),BJ36*References!$R$429)</f>
        <v>#REF!</v>
      </c>
    </row>
    <row r="37" spans="1:70" ht="14.15" hidden="1" customHeight="1"/>
    <row r="38" spans="1:70" ht="14.15" hidden="1" customHeight="1">
      <c r="BK38" s="767"/>
      <c r="BL38" s="767"/>
    </row>
    <row r="39" spans="1:70" ht="14.15" hidden="1" customHeight="1">
      <c r="A39" s="100" t="s">
        <v>619</v>
      </c>
      <c r="N39" s="544"/>
      <c r="O39" s="544"/>
      <c r="P39" s="544"/>
      <c r="AN39" s="565"/>
      <c r="AO39" s="565"/>
    </row>
    <row r="40" spans="1:70" ht="14.15" hidden="1" customHeight="1">
      <c r="C40" s="760"/>
      <c r="D40" s="760"/>
      <c r="E40" s="760"/>
      <c r="F40" s="760"/>
      <c r="G40" s="760"/>
      <c r="H40" s="760"/>
      <c r="I40" s="768"/>
      <c r="J40" s="768"/>
      <c r="K40" s="761"/>
      <c r="L40" s="760"/>
      <c r="M40" s="760"/>
      <c r="N40" s="761"/>
      <c r="O40" s="760"/>
      <c r="P40" s="760"/>
      <c r="Q40" s="760"/>
      <c r="R40" s="760"/>
      <c r="S40" s="760"/>
      <c r="T40" s="760"/>
      <c r="U40" s="760"/>
      <c r="V40" s="760"/>
      <c r="W40" s="760"/>
      <c r="X40" s="760"/>
      <c r="Y40" s="760"/>
      <c r="Z40" s="760"/>
    </row>
    <row r="41" spans="1:70" ht="14.15" hidden="1" customHeight="1">
      <c r="A41" s="100" t="s">
        <v>196</v>
      </c>
      <c r="C41" s="760" t="s">
        <v>416</v>
      </c>
      <c r="D41" s="760"/>
      <c r="E41" s="760" t="s">
        <v>620</v>
      </c>
      <c r="F41" s="760"/>
      <c r="G41" s="760" t="s">
        <v>621</v>
      </c>
      <c r="H41" s="760"/>
      <c r="I41" s="768" t="s">
        <v>622</v>
      </c>
      <c r="J41" s="768"/>
      <c r="K41" s="760" t="s">
        <v>623</v>
      </c>
      <c r="L41" s="760" t="s">
        <v>12</v>
      </c>
      <c r="M41" s="760" t="s">
        <v>14</v>
      </c>
      <c r="N41" s="760" t="s">
        <v>571</v>
      </c>
      <c r="O41" s="760" t="s">
        <v>624</v>
      </c>
      <c r="P41" s="760" t="s">
        <v>625</v>
      </c>
      <c r="Q41" s="760" t="s">
        <v>626</v>
      </c>
      <c r="R41" s="760" t="s">
        <v>627</v>
      </c>
      <c r="S41" s="760"/>
      <c r="T41" s="760"/>
      <c r="U41" s="760"/>
      <c r="V41" s="760"/>
      <c r="W41" s="760"/>
      <c r="X41" s="760"/>
      <c r="Y41" s="760" t="s">
        <v>157</v>
      </c>
      <c r="Z41" s="760" t="s">
        <v>201</v>
      </c>
    </row>
    <row r="42" spans="1:70" ht="14.15" hidden="1" customHeight="1">
      <c r="A42" s="100">
        <v>1</v>
      </c>
      <c r="C42" s="748">
        <f>'Smart T-Stats'!D21</f>
        <v>0</v>
      </c>
      <c r="D42" s="748"/>
      <c r="E42" s="1463" t="str">
        <f>IF(C42&lt;&gt;0,INDEX(References!$AU$104:$AV$119,MATCH(C42,References!$AU$104:$AU$119,0),2),"")</f>
        <v/>
      </c>
      <c r="F42" s="1463"/>
      <c r="G42" s="749">
        <f>'Smart T-Stats'!G21</f>
        <v>0</v>
      </c>
      <c r="H42" s="749"/>
      <c r="I42" s="748">
        <f>IF(C42&lt;&gt;0,IF(G42&lt;&gt;0,INDEX(#REF!,MATCH('Smart T-Stats'!G21,#REF!,0),5),36000),0)</f>
        <v>0</v>
      </c>
      <c r="J42" s="748"/>
      <c r="K42" s="748">
        <f>IF(C42&lt;&gt;0,IF(G42&lt;&gt;0,INDEX(#REF!,MATCH('Smart T-Stats'!G21,#REF!,0),7),36000),0)</f>
        <v>0</v>
      </c>
      <c r="L42" s="100">
        <f>IF(C42&lt;&gt;0,IF(G42&lt;&gt;0,INDEX(#REF!,MATCH('Smart T-Stats'!G21,#REF!,0),9),References!$BE$9),0)</f>
        <v>0</v>
      </c>
      <c r="M42" s="100">
        <f>IF(C42&lt;&gt;0,IF(G42&lt;&gt;0,INDEX(#REF!,MATCH('Smart T-Stats'!G21,#REF!,0),11),References!$AD$14),0)</f>
        <v>0</v>
      </c>
      <c r="N42" s="748" t="e">
        <f t="shared" ref="N42:N51" si="5">BB27</f>
        <v>#REF!</v>
      </c>
      <c r="O42" s="748" t="e">
        <f t="shared" ref="O42:O51" si="6">BC27</f>
        <v>#REF!</v>
      </c>
      <c r="P42" s="544">
        <f>IF(E42&lt;&gt;"",IF(E42="Learning",((I42/12000)*(12/L42)*N42*References!#REF!)+((K42/12000)*(12/M42)*O42*References!#REF!),INDEX(References!#REF!,MATCH('Smart T-Stats'!J21,References!$D$10:$D$12,0))),0)</f>
        <v>0</v>
      </c>
      <c r="Q42" s="544">
        <f>P42*References!$AW$12/1000</f>
        <v>0</v>
      </c>
      <c r="R42" s="100">
        <f>P42*References!$R$429</f>
        <v>0</v>
      </c>
      <c r="S42" s="1468" t="str">
        <f>IF('Smart T-Stats'!H21="","",IF(References!#REF!=TRUE,"HP Thermostat",IF(OR(RIGHT('Smart T-Stats'!H21,2)="HP",'Smart T-Stats'!I21="Electric Heat"),"CH Thermostat Heating Cooling","CH Thermostat Cooling")))</f>
        <v/>
      </c>
      <c r="T42" s="1468"/>
      <c r="U42" s="1468"/>
      <c r="V42" s="1468" t="str">
        <f>IF(S42="","",IF(LEFT(S42)="HP",S42,IF(RIGHT(S42,9)="t Cooling",IF(E42="Learning","Learning for Cooling","Connected for Cooling"),IF(E42="Learning","Learning for Heating and Cooling","Connected for Heating and Cooling"))))</f>
        <v/>
      </c>
      <c r="W42" s="1468"/>
      <c r="X42" s="1468"/>
      <c r="Y42" s="100" t="str">
        <f>IF(V42="","",INDEX(References!#REF!,MATCH(V42,References!#REF!,0)))</f>
        <v/>
      </c>
      <c r="Z42" s="100" t="str">
        <f>IF(E42="","",IF(E42="Learning",0,INDEX(References!#REF!,MATCH('Smart T-Stats'!J21,References!$D$10:$D$12,0))))</f>
        <v/>
      </c>
    </row>
    <row r="43" spans="1:70" ht="14.15" hidden="1" customHeight="1">
      <c r="A43" s="100">
        <v>2</v>
      </c>
      <c r="C43" s="748">
        <f>'Smart T-Stats'!D22</f>
        <v>0</v>
      </c>
      <c r="D43" s="748"/>
      <c r="E43" s="1463" t="str">
        <f>IF(C43&lt;&gt;0,INDEX(References!$AU$104:$AV$119,MATCH(C43,References!$AU$104:$AU$119,0),2),"")</f>
        <v/>
      </c>
      <c r="F43" s="1463"/>
      <c r="G43" s="749">
        <f>'Smart T-Stats'!G22</f>
        <v>0</v>
      </c>
      <c r="H43" s="749"/>
      <c r="I43" s="748">
        <f>IF(C43&lt;&gt;0,IF(G43&lt;&gt;0,INDEX(#REF!,MATCH('Smart T-Stats'!G22,#REF!,0),5),36000),0)</f>
        <v>0</v>
      </c>
      <c r="J43" s="748"/>
      <c r="K43" s="748">
        <f>IF(C43&lt;&gt;0,IF(G43&lt;&gt;0,INDEX(#REF!,MATCH('Smart T-Stats'!G22,#REF!,0),7),36000),0)</f>
        <v>0</v>
      </c>
      <c r="L43" s="100">
        <f>IF(C43&lt;&gt;0,IF(G43&lt;&gt;0,INDEX(#REF!,MATCH('Smart T-Stats'!G22,#REF!,0),9),References!$BE$9),0)</f>
        <v>0</v>
      </c>
      <c r="M43" s="100">
        <f>IF(C43&lt;&gt;0,IF(G43&lt;&gt;0,INDEX(#REF!,MATCH('Smart T-Stats'!G22,#REF!,0),11),References!$AD$14),0)</f>
        <v>0</v>
      </c>
      <c r="N43" s="748" t="e">
        <f t="shared" si="5"/>
        <v>#REF!</v>
      </c>
      <c r="O43" s="748" t="e">
        <f t="shared" si="6"/>
        <v>#REF!</v>
      </c>
      <c r="P43" s="544">
        <f>IF(E43&lt;&gt;"",IF(E43="Learning",((I43/12000)*(12/L43)*N43*References!#REF!)+((K43/12000)*(12/M43)*O43*References!#REF!),INDEX(References!#REF!,MATCH('Smart T-Stats'!J22,References!$D$10:$D$12,0))),0)</f>
        <v>0</v>
      </c>
      <c r="Q43" s="544">
        <f>P43*References!$AW$12/1000</f>
        <v>0</v>
      </c>
      <c r="R43" s="100">
        <f>P43*References!$R$429</f>
        <v>0</v>
      </c>
      <c r="S43" s="1468" t="str">
        <f>IF('Smart T-Stats'!H22="","",IF(References!#REF!=TRUE,"HP Thermostat",IF(OR(RIGHT('Smart T-Stats'!H22,2)="HP",'Smart T-Stats'!I22="Electric Heat"),"CH Thermostat Heating Cooling","CH Thermostat Cooling")))</f>
        <v/>
      </c>
      <c r="T43" s="1468"/>
      <c r="U43" s="1468"/>
      <c r="V43" s="1468" t="str">
        <f t="shared" ref="V43:V51" si="7">IF(S43="","",IF(LEFT(S43)="HP",S43,IF(RIGHT(S43,9)="t Cooling",IF(E43="Learning","Learning for Cooling","Connected for Cooling"),IF(E43="Learning","Learning for Heating and Cooling","Connected for Heating and Cooling"))))</f>
        <v/>
      </c>
      <c r="W43" s="1468"/>
      <c r="X43" s="1468"/>
      <c r="Y43" s="100" t="str">
        <f>IF(V43="","",INDEX(References!#REF!,MATCH(V43,References!#REF!,0)))</f>
        <v/>
      </c>
      <c r="Z43" s="100" t="str">
        <f>IF(E43="","",IF(E43="Learning",0,INDEX(References!#REF!,MATCH('Smart T-Stats'!J22,References!$D$10:$D$12,0))))</f>
        <v/>
      </c>
    </row>
    <row r="44" spans="1:70" ht="14.15" hidden="1" customHeight="1">
      <c r="A44" s="100">
        <v>3</v>
      </c>
      <c r="C44" s="748">
        <f>'Smart T-Stats'!D23</f>
        <v>0</v>
      </c>
      <c r="D44" s="748"/>
      <c r="E44" s="1463" t="str">
        <f>IF(C44&lt;&gt;0,INDEX(References!$AU$104:$AV$119,MATCH(C44,References!$AU$104:$AU$119,0),2),"")</f>
        <v/>
      </c>
      <c r="F44" s="1463"/>
      <c r="G44" s="749">
        <f>'Smart T-Stats'!G23</f>
        <v>0</v>
      </c>
      <c r="H44" s="749"/>
      <c r="I44" s="748">
        <f>IF(C44&lt;&gt;0,IF(G44&lt;&gt;0,INDEX(#REF!,MATCH('Smart T-Stats'!G23,#REF!,0),5),36000),0)</f>
        <v>0</v>
      </c>
      <c r="J44" s="748"/>
      <c r="K44" s="748">
        <f>IF(C44&lt;&gt;0,IF(G44&lt;&gt;0,INDEX(#REF!,MATCH('Smart T-Stats'!G23,#REF!,0),7),36000),0)</f>
        <v>0</v>
      </c>
      <c r="L44" s="100">
        <f>IF(C44&lt;&gt;0,IF(G44&lt;&gt;0,INDEX(#REF!,MATCH('Smart T-Stats'!G23,#REF!,0),9),References!$BE$9),0)</f>
        <v>0</v>
      </c>
      <c r="M44" s="100">
        <f>IF(C44&lt;&gt;0,IF(G44&lt;&gt;0,INDEX(#REF!,MATCH('Smart T-Stats'!G23,#REF!,0),11),References!$AD$14),0)</f>
        <v>0</v>
      </c>
      <c r="N44" s="748" t="e">
        <f t="shared" si="5"/>
        <v>#REF!</v>
      </c>
      <c r="O44" s="748" t="e">
        <f t="shared" si="6"/>
        <v>#REF!</v>
      </c>
      <c r="P44" s="544">
        <f>IF(E44&lt;&gt;"",IF(E44="Learning",((I44/12000)*(12/L44)*N44*References!#REF!)+((K44/12000)*(12/M44)*O44*References!#REF!),INDEX(References!#REF!,MATCH('Smart T-Stats'!J23,References!$D$10:$D$12,0))),0)</f>
        <v>0</v>
      </c>
      <c r="Q44" s="544">
        <f>P44*References!$AW$12/1000</f>
        <v>0</v>
      </c>
      <c r="R44" s="100">
        <f>P44*References!$R$429</f>
        <v>0</v>
      </c>
      <c r="S44" s="1468" t="str">
        <f>IF('Smart T-Stats'!H23="","",IF(References!#REF!=TRUE,"HP Thermostat",IF(OR(RIGHT('Smart T-Stats'!H23,2)="HP",'Smart T-Stats'!I23="Electric Heat"),"CH Thermostat Heating Cooling","CH Thermostat Cooling")))</f>
        <v/>
      </c>
      <c r="T44" s="1468"/>
      <c r="U44" s="1468"/>
      <c r="V44" s="1468" t="str">
        <f t="shared" si="7"/>
        <v/>
      </c>
      <c r="W44" s="1468"/>
      <c r="X44" s="1468"/>
      <c r="Y44" s="100" t="str">
        <f>IF(V44="","",INDEX(References!#REF!,MATCH(V44,References!#REF!,0)))</f>
        <v/>
      </c>
      <c r="Z44" s="100" t="str">
        <f>IF(E44="","",IF(E44="Learning",0,INDEX(References!#REF!,MATCH('Smart T-Stats'!J23,References!$D$10:$D$12,0))))</f>
        <v/>
      </c>
      <c r="AN44" s="565"/>
      <c r="AO44" s="565"/>
    </row>
    <row r="45" spans="1:70" ht="14.15" hidden="1" customHeight="1">
      <c r="A45" s="100">
        <v>4</v>
      </c>
      <c r="C45" s="748">
        <f>'Smart T-Stats'!D24</f>
        <v>0</v>
      </c>
      <c r="D45" s="748"/>
      <c r="E45" s="1463" t="str">
        <f>IF(C45&lt;&gt;0,INDEX(References!$AU$104:$AV$119,MATCH(C45,References!$AU$104:$AU$119,0),2),"")</f>
        <v/>
      </c>
      <c r="F45" s="1463"/>
      <c r="G45" s="749">
        <f>'Smart T-Stats'!G24</f>
        <v>0</v>
      </c>
      <c r="H45" s="749"/>
      <c r="I45" s="748">
        <f>IF(C45&lt;&gt;0,IF(G45&lt;&gt;0,INDEX(#REF!,MATCH('Smart T-Stats'!G24,#REF!,0),5),36000),0)</f>
        <v>0</v>
      </c>
      <c r="J45" s="748"/>
      <c r="K45" s="748">
        <f>IF(C45&lt;&gt;0,IF(G45&lt;&gt;0,INDEX(#REF!,MATCH('Smart T-Stats'!G24,#REF!,0),7),36000),0)</f>
        <v>0</v>
      </c>
      <c r="L45" s="100">
        <f>IF(C45&lt;&gt;0,IF(G45&lt;&gt;0,INDEX(#REF!,MATCH('Smart T-Stats'!G24,#REF!,0),9),References!$BE$9),0)</f>
        <v>0</v>
      </c>
      <c r="M45" s="100">
        <f>IF(C45&lt;&gt;0,IF(G45&lt;&gt;0,INDEX(#REF!,MATCH('Smart T-Stats'!G24,#REF!,0),11),References!$AD$14),0)</f>
        <v>0</v>
      </c>
      <c r="N45" s="748" t="e">
        <f t="shared" si="5"/>
        <v>#REF!</v>
      </c>
      <c r="O45" s="748" t="e">
        <f t="shared" si="6"/>
        <v>#REF!</v>
      </c>
      <c r="P45" s="544">
        <f>IF(E45&lt;&gt;"",IF(E45="Learning",((I45/12000)*(12/L45)*N45*References!#REF!)+((K45/12000)*(12/M45)*O45*References!#REF!),INDEX(References!#REF!,MATCH('Smart T-Stats'!J24,References!$D$10:$D$12,0))),0)</f>
        <v>0</v>
      </c>
      <c r="Q45" s="544">
        <f>P45*References!$AW$12/1000</f>
        <v>0</v>
      </c>
      <c r="R45" s="100">
        <f>P45*References!$R$429</f>
        <v>0</v>
      </c>
      <c r="S45" s="1468" t="str">
        <f>IF('Smart T-Stats'!H24="","",IF(References!#REF!=TRUE,"HP Thermostat",IF(OR(RIGHT('Smart T-Stats'!H24,2)="HP",'Smart T-Stats'!I24="Electric Heat"),"CH Thermostat Heating Cooling","CH Thermostat Cooling")))</f>
        <v/>
      </c>
      <c r="T45" s="1468"/>
      <c r="U45" s="1468"/>
      <c r="V45" s="1468" t="str">
        <f t="shared" si="7"/>
        <v/>
      </c>
      <c r="W45" s="1468"/>
      <c r="X45" s="1468"/>
      <c r="Y45" s="100" t="str">
        <f>IF(V45="","",INDEX(References!#REF!,MATCH(V45,References!#REF!,0)))</f>
        <v/>
      </c>
      <c r="Z45" s="100" t="str">
        <f>IF(E45="","",IF(E45="Learning",0,INDEX(References!#REF!,MATCH('Smart T-Stats'!J24,References!$D$10:$D$12,0))))</f>
        <v/>
      </c>
    </row>
    <row r="46" spans="1:70" ht="14.15" hidden="1" customHeight="1">
      <c r="A46" s="100">
        <v>5</v>
      </c>
      <c r="C46" s="748">
        <f>'Smart T-Stats'!D25</f>
        <v>0</v>
      </c>
      <c r="D46" s="748"/>
      <c r="E46" s="1463" t="str">
        <f>IF(C46&lt;&gt;0,INDEX(References!$AU$104:$AV$119,MATCH(C46,References!$AU$104:$AU$119,0),2),"")</f>
        <v/>
      </c>
      <c r="F46" s="1463"/>
      <c r="G46" s="749">
        <f>'Smart T-Stats'!G25</f>
        <v>0</v>
      </c>
      <c r="H46" s="749"/>
      <c r="I46" s="748">
        <f>IF(C46&lt;&gt;0,IF(G46&lt;&gt;0,INDEX(#REF!,MATCH('Smart T-Stats'!G25,#REF!,0),5),36000),0)</f>
        <v>0</v>
      </c>
      <c r="J46" s="748"/>
      <c r="K46" s="748">
        <f>IF(C46&lt;&gt;0,IF(G46&lt;&gt;0,INDEX(#REF!,MATCH('Smart T-Stats'!G25,#REF!,0),7),36000),0)</f>
        <v>0</v>
      </c>
      <c r="L46" s="100">
        <f>IF(C46&lt;&gt;0,IF(G46&lt;&gt;0,INDEX(#REF!,MATCH('Smart T-Stats'!G25,#REF!,0),9),References!$BE$9),0)</f>
        <v>0</v>
      </c>
      <c r="M46" s="100">
        <f>IF(C46&lt;&gt;0,IF(G46&lt;&gt;0,INDEX(#REF!,MATCH('Smart T-Stats'!G25,#REF!,0),11),References!$AD$14),0)</f>
        <v>0</v>
      </c>
      <c r="N46" s="748" t="e">
        <f t="shared" si="5"/>
        <v>#REF!</v>
      </c>
      <c r="O46" s="748" t="e">
        <f t="shared" si="6"/>
        <v>#REF!</v>
      </c>
      <c r="P46" s="544">
        <f>IF(E46&lt;&gt;"",IF(E46="Learning",((I46/12000)*(12/L46)*N46*References!#REF!)+((K46/12000)*(12/M46)*O46*References!#REF!),INDEX(References!#REF!,MATCH('Smart T-Stats'!J25,References!$D$10:$D$12,0))),0)</f>
        <v>0</v>
      </c>
      <c r="Q46" s="544">
        <f>P46*References!$AW$12/1000</f>
        <v>0</v>
      </c>
      <c r="R46" s="100">
        <f>P46*References!$R$429</f>
        <v>0</v>
      </c>
      <c r="S46" s="1468" t="str">
        <f>IF('Smart T-Stats'!H25="","",IF(References!#REF!=TRUE,"HP Thermostat",IF(OR(RIGHT('Smart T-Stats'!H25,2)="HP",'Smart T-Stats'!I25="Electric Heat"),"CH Thermostat Heating Cooling","CH Thermostat Cooling")))</f>
        <v/>
      </c>
      <c r="T46" s="1468"/>
      <c r="U46" s="1468"/>
      <c r="V46" s="1468" t="str">
        <f t="shared" si="7"/>
        <v/>
      </c>
      <c r="W46" s="1468"/>
      <c r="X46" s="1468"/>
      <c r="Y46" s="100" t="str">
        <f>IF(V46="","",INDEX(References!#REF!,MATCH(V46,References!#REF!,0)))</f>
        <v/>
      </c>
      <c r="Z46" s="100" t="str">
        <f>IF(E46="","",IF(E46="Learning",0,INDEX(References!#REF!,MATCH('Smart T-Stats'!J25,References!$D$10:$D$12,0))))</f>
        <v/>
      </c>
    </row>
    <row r="47" spans="1:70" ht="14.15" hidden="1" customHeight="1">
      <c r="A47" s="100">
        <v>6</v>
      </c>
      <c r="C47" s="748">
        <f>'Smart T-Stats'!D26</f>
        <v>0</v>
      </c>
      <c r="D47" s="748"/>
      <c r="E47" s="1463" t="str">
        <f>IF(C47&lt;&gt;0,INDEX(References!$AU$104:$AV$119,MATCH(C47,References!$AU$104:$AU$119,0),2),"")</f>
        <v/>
      </c>
      <c r="F47" s="1463"/>
      <c r="G47" s="749">
        <f>'Smart T-Stats'!G26</f>
        <v>0</v>
      </c>
      <c r="H47" s="749"/>
      <c r="I47" s="748">
        <f>IF(C47&lt;&gt;0,IF(G47&lt;&gt;0,INDEX(#REF!,MATCH('Smart T-Stats'!G26,#REF!,0),5),36000),0)</f>
        <v>0</v>
      </c>
      <c r="J47" s="748"/>
      <c r="K47" s="748">
        <f>IF(C47&lt;&gt;0,IF(G47&lt;&gt;0,INDEX(#REF!,MATCH('Smart T-Stats'!G26,#REF!,0),7),36000),0)</f>
        <v>0</v>
      </c>
      <c r="L47" s="100">
        <f>IF(C47&lt;&gt;0,IF(G47&lt;&gt;0,INDEX(#REF!,MATCH('Smart T-Stats'!G26,#REF!,0),9),References!$BE$9),0)</f>
        <v>0</v>
      </c>
      <c r="M47" s="100">
        <f>IF(C47&lt;&gt;0,IF(G47&lt;&gt;0,INDEX(#REF!,MATCH('Smart T-Stats'!G26,#REF!,0),11),References!$AD$14),0)</f>
        <v>0</v>
      </c>
      <c r="N47" s="748" t="e">
        <f t="shared" si="5"/>
        <v>#REF!</v>
      </c>
      <c r="O47" s="748" t="e">
        <f t="shared" si="6"/>
        <v>#REF!</v>
      </c>
      <c r="P47" s="544">
        <f>IF(E47&lt;&gt;"",IF(E47="Learning",((I47/12000)*(12/L47)*N47*References!#REF!)+((K47/12000)*(12/M47)*O47*References!#REF!),INDEX(References!#REF!,MATCH('Smart T-Stats'!J26,References!$D$10:$D$12,0))),0)</f>
        <v>0</v>
      </c>
      <c r="Q47" s="544">
        <f>P47*References!$AW$12/1000</f>
        <v>0</v>
      </c>
      <c r="R47" s="100">
        <f>P47*References!$R$429</f>
        <v>0</v>
      </c>
      <c r="S47" s="1468" t="str">
        <f>IF('Smart T-Stats'!H26="","",IF(References!#REF!=TRUE,"HP Thermostat",IF(OR(RIGHT('Smart T-Stats'!H26,2)="HP",'Smart T-Stats'!I26="Electric Heat"),"CH Thermostat Heating Cooling","CH Thermostat Cooling")))</f>
        <v/>
      </c>
      <c r="T47" s="1468"/>
      <c r="U47" s="1468"/>
      <c r="V47" s="1468" t="str">
        <f t="shared" si="7"/>
        <v/>
      </c>
      <c r="W47" s="1468"/>
      <c r="X47" s="1468"/>
      <c r="Y47" s="100" t="str">
        <f>IF(V47="","",INDEX(References!#REF!,MATCH(V47,References!#REF!,0)))</f>
        <v/>
      </c>
      <c r="Z47" s="100" t="str">
        <f>IF(E47="","",IF(E47="Learning",0,INDEX(References!#REF!,MATCH('Smart T-Stats'!J26,References!$D$10:$D$12,0))))</f>
        <v/>
      </c>
    </row>
    <row r="48" spans="1:70" ht="14.15" hidden="1" customHeight="1">
      <c r="A48" s="100">
        <v>7</v>
      </c>
      <c r="C48" s="748">
        <f>'Smart T-Stats'!D27</f>
        <v>0</v>
      </c>
      <c r="D48" s="748"/>
      <c r="E48" s="1463" t="str">
        <f>IF(C48&lt;&gt;0,INDEX(References!$AU$104:$AV$119,MATCH(C48,References!$AU$104:$AU$119,0),2),"")</f>
        <v/>
      </c>
      <c r="F48" s="1463"/>
      <c r="G48" s="749">
        <f>'Smart T-Stats'!G27</f>
        <v>0</v>
      </c>
      <c r="H48" s="749"/>
      <c r="I48" s="748">
        <f>IF(C48&lt;&gt;0,IF(G48&lt;&gt;0,INDEX(#REF!,MATCH('Smart T-Stats'!G27,#REF!,0),5),36000),0)</f>
        <v>0</v>
      </c>
      <c r="J48" s="748"/>
      <c r="K48" s="748">
        <f>IF(C48&lt;&gt;0,IF(G48&lt;&gt;0,INDEX(#REF!,MATCH('Smart T-Stats'!G27,#REF!,0),7),36000),0)</f>
        <v>0</v>
      </c>
      <c r="L48" s="100">
        <f>IF(C48&lt;&gt;0,IF(G48&lt;&gt;0,INDEX(#REF!,MATCH('Smart T-Stats'!G27,#REF!,0),9),References!$BE$9),0)</f>
        <v>0</v>
      </c>
      <c r="M48" s="100">
        <f>IF(C48&lt;&gt;0,IF(G48&lt;&gt;0,INDEX(#REF!,MATCH('Smart T-Stats'!G27,#REF!,0),11),References!$AD$14),0)</f>
        <v>0</v>
      </c>
      <c r="N48" s="748" t="e">
        <f t="shared" si="5"/>
        <v>#REF!</v>
      </c>
      <c r="O48" s="748" t="e">
        <f t="shared" si="6"/>
        <v>#REF!</v>
      </c>
      <c r="P48" s="544">
        <f>IF(E48&lt;&gt;"",IF(E48="Learning",((I48/12000)*(12/L48)*N48*References!#REF!)+((K48/12000)*(12/M48)*O48*References!#REF!),INDEX(References!#REF!,MATCH('Smart T-Stats'!J27,References!$D$10:$D$12,0))),0)</f>
        <v>0</v>
      </c>
      <c r="Q48" s="544">
        <f>P48*References!$AW$12/1000</f>
        <v>0</v>
      </c>
      <c r="R48" s="100">
        <f>P48*References!$R$429</f>
        <v>0</v>
      </c>
      <c r="S48" s="1468" t="str">
        <f>IF('Smart T-Stats'!H27="","",IF(References!#REF!=TRUE,"HP Thermostat",IF(OR(RIGHT('Smart T-Stats'!H27,2)="HP",'Smart T-Stats'!I27="Electric Heat"),"CH Thermostat Heating Cooling","CH Thermostat Cooling")))</f>
        <v/>
      </c>
      <c r="T48" s="1468"/>
      <c r="U48" s="1468"/>
      <c r="V48" s="1468" t="str">
        <f t="shared" si="7"/>
        <v/>
      </c>
      <c r="W48" s="1468"/>
      <c r="X48" s="1468"/>
      <c r="Y48" s="100" t="str">
        <f>IF(V48="","",INDEX(References!#REF!,MATCH(V48,References!#REF!,0)))</f>
        <v/>
      </c>
      <c r="Z48" s="100" t="str">
        <f>IF(E48="","",IF(E48="Learning",0,INDEX(References!#REF!,MATCH('Smart T-Stats'!J27,References!$D$10:$D$12,0))))</f>
        <v/>
      </c>
    </row>
    <row r="49" spans="1:56" ht="14.15" hidden="1" customHeight="1">
      <c r="A49" s="100">
        <v>8</v>
      </c>
      <c r="C49" s="748">
        <f>'Smart T-Stats'!D28</f>
        <v>0</v>
      </c>
      <c r="D49" s="748"/>
      <c r="E49" s="1463" t="str">
        <f>IF(C49&lt;&gt;0,INDEX(References!$AU$104:$AV$119,MATCH(C49,References!$AU$104:$AU$119,0),2),"")</f>
        <v/>
      </c>
      <c r="F49" s="1463"/>
      <c r="G49" s="749">
        <f>'Smart T-Stats'!G28</f>
        <v>0</v>
      </c>
      <c r="H49" s="749"/>
      <c r="I49" s="748">
        <f>IF(C49&lt;&gt;0,IF(G49&lt;&gt;0,INDEX(#REF!,MATCH('Smart T-Stats'!G28,#REF!,0),5),36000),0)</f>
        <v>0</v>
      </c>
      <c r="J49" s="748"/>
      <c r="K49" s="748">
        <f>IF(C49&lt;&gt;0,IF(G49&lt;&gt;0,INDEX(#REF!,MATCH('Smart T-Stats'!G28,#REF!,0),7),36000),0)</f>
        <v>0</v>
      </c>
      <c r="L49" s="100">
        <f>IF(C49&lt;&gt;0,IF(G49&lt;&gt;0,INDEX(#REF!,MATCH('Smart T-Stats'!G28,#REF!,0),9),References!$BE$9),0)</f>
        <v>0</v>
      </c>
      <c r="M49" s="100">
        <f>IF(C49&lt;&gt;0,IF(G49&lt;&gt;0,INDEX(#REF!,MATCH('Smart T-Stats'!G28,#REF!,0),11),References!$AD$14),0)</f>
        <v>0</v>
      </c>
      <c r="N49" s="748" t="e">
        <f t="shared" si="5"/>
        <v>#REF!</v>
      </c>
      <c r="O49" s="748" t="e">
        <f t="shared" si="6"/>
        <v>#REF!</v>
      </c>
      <c r="P49" s="544">
        <f>IF(E49&lt;&gt;"",IF(E49="Learning",((I49/12000)*(12/L49)*N49*References!#REF!)+((K49/12000)*(12/M49)*O49*References!#REF!),INDEX(References!#REF!,MATCH('Smart T-Stats'!J28,References!$D$10:$D$12,0))),0)</f>
        <v>0</v>
      </c>
      <c r="Q49" s="544">
        <f>P49*References!$AW$12/1000</f>
        <v>0</v>
      </c>
      <c r="R49" s="100">
        <f>P49*References!$R$429</f>
        <v>0</v>
      </c>
      <c r="S49" s="1468" t="str">
        <f>IF('Smart T-Stats'!H28="","",IF(References!#REF!=TRUE,"HP Thermostat",IF(OR(RIGHT('Smart T-Stats'!H28,2)="HP",'Smart T-Stats'!I28="Electric Heat"),"CH Thermostat Heating Cooling","CH Thermostat Cooling")))</f>
        <v/>
      </c>
      <c r="T49" s="1468"/>
      <c r="U49" s="1468"/>
      <c r="V49" s="1468" t="str">
        <f t="shared" si="7"/>
        <v/>
      </c>
      <c r="W49" s="1468"/>
      <c r="X49" s="1468"/>
      <c r="Y49" s="100" t="str">
        <f>IF(V49="","",INDEX(References!#REF!,MATCH(V49,References!#REF!,0)))</f>
        <v/>
      </c>
      <c r="Z49" s="100" t="str">
        <f>IF(E49="","",IF(E49="Learning",0,INDEX(References!#REF!,MATCH('Smart T-Stats'!J28,References!$D$10:$D$12,0))))</f>
        <v/>
      </c>
      <c r="AN49" s="565"/>
      <c r="AO49" s="565"/>
    </row>
    <row r="50" spans="1:56" ht="14.15" hidden="1" customHeight="1">
      <c r="A50" s="100">
        <v>9</v>
      </c>
      <c r="C50" s="748">
        <f>'Smart T-Stats'!D29</f>
        <v>0</v>
      </c>
      <c r="D50" s="748"/>
      <c r="E50" s="1463" t="str">
        <f>IF(C50&lt;&gt;0,INDEX(References!$AU$104:$AV$119,MATCH(C50,References!$AU$104:$AU$119,0),2),"")</f>
        <v/>
      </c>
      <c r="F50" s="1463"/>
      <c r="G50" s="749">
        <f>'Smart T-Stats'!G29</f>
        <v>0</v>
      </c>
      <c r="H50" s="749"/>
      <c r="I50" s="748">
        <f>IF(C50&lt;&gt;0,IF(G50&lt;&gt;0,INDEX(#REF!,MATCH('Smart T-Stats'!G29,#REF!,0),5),36000),0)</f>
        <v>0</v>
      </c>
      <c r="J50" s="748"/>
      <c r="K50" s="748">
        <f>IF(C50&lt;&gt;0,IF(G50&lt;&gt;0,INDEX(#REF!,MATCH('Smart T-Stats'!G29,#REF!,0),7),36000),0)</f>
        <v>0</v>
      </c>
      <c r="L50" s="100">
        <f>IF(C50&lt;&gt;0,IF(G50&lt;&gt;0,INDEX(#REF!,MATCH('Smart T-Stats'!G29,#REF!,0),9),References!$BE$9),0)</f>
        <v>0</v>
      </c>
      <c r="M50" s="100">
        <f>IF(C50&lt;&gt;0,IF(G50&lt;&gt;0,INDEX(#REF!,MATCH('Smart T-Stats'!G29,#REF!,0),11),References!$AD$14),0)</f>
        <v>0</v>
      </c>
      <c r="N50" s="748" t="e">
        <f t="shared" si="5"/>
        <v>#REF!</v>
      </c>
      <c r="O50" s="748" t="e">
        <f t="shared" si="6"/>
        <v>#REF!</v>
      </c>
      <c r="P50" s="544">
        <f>IF(E50&lt;&gt;"",IF(E50="Learning",((I50/12000)*(12/L50)*N50*References!#REF!)+((K50/12000)*(12/M50)*O50*References!#REF!),INDEX(References!#REF!,MATCH('Smart T-Stats'!J29,References!$D$10:$D$12,0))),0)</f>
        <v>0</v>
      </c>
      <c r="Q50" s="544">
        <f>P50*References!$AW$12/1000</f>
        <v>0</v>
      </c>
      <c r="R50" s="100">
        <f>P50*References!$R$429</f>
        <v>0</v>
      </c>
      <c r="S50" s="1468" t="str">
        <f>IF('Smart T-Stats'!H29="","",IF(References!#REF!=TRUE,"HP Thermostat",IF(OR(RIGHT('Smart T-Stats'!H29,2)="HP",'Smart T-Stats'!I29="Electric Heat"),"CH Thermostat Heating Cooling","CH Thermostat Cooling")))</f>
        <v/>
      </c>
      <c r="T50" s="1468"/>
      <c r="U50" s="1468"/>
      <c r="V50" s="1468" t="str">
        <f t="shared" si="7"/>
        <v/>
      </c>
      <c r="W50" s="1468"/>
      <c r="X50" s="1468"/>
      <c r="Y50" s="100" t="str">
        <f>IF(V50="","",INDEX(References!#REF!,MATCH(V50,References!#REF!,0)))</f>
        <v/>
      </c>
      <c r="Z50" s="100" t="str">
        <f>IF(E50="","",IF(E50="Learning",0,INDEX(References!#REF!,MATCH('Smart T-Stats'!J29,References!$D$10:$D$12,0))))</f>
        <v/>
      </c>
    </row>
    <row r="51" spans="1:56" ht="14.15" hidden="1" customHeight="1">
      <c r="A51" s="100">
        <v>10</v>
      </c>
      <c r="C51" s="748">
        <f>'Smart T-Stats'!D30</f>
        <v>0</v>
      </c>
      <c r="D51" s="748"/>
      <c r="E51" s="1463" t="str">
        <f>IF(C51&lt;&gt;0,INDEX(References!$AU$104:$AV$119,MATCH(C51,References!$AU$104:$AU$119,0),2),"")</f>
        <v/>
      </c>
      <c r="F51" s="1463"/>
      <c r="G51" s="749">
        <f>'Smart T-Stats'!G30</f>
        <v>0</v>
      </c>
      <c r="H51" s="749"/>
      <c r="I51" s="748">
        <f>IF(C51&lt;&gt;0,IF(G51&lt;&gt;0,INDEX(#REF!,MATCH('Smart T-Stats'!G30,#REF!,0),5),36000),0)</f>
        <v>0</v>
      </c>
      <c r="J51" s="748"/>
      <c r="K51" s="748">
        <f>IF(C51&lt;&gt;0,IF(G51&lt;&gt;0,INDEX(#REF!,MATCH('Smart T-Stats'!G30,#REF!,0),7),36000),0)</f>
        <v>0</v>
      </c>
      <c r="L51" s="100">
        <f>IF(C51&lt;&gt;0,IF(G51&lt;&gt;0,INDEX(#REF!,MATCH('Smart T-Stats'!G30,#REF!,0),9),References!$BE$9),0)</f>
        <v>0</v>
      </c>
      <c r="M51" s="100">
        <f>IF(C51&lt;&gt;0,IF(G51&lt;&gt;0,INDEX(#REF!,MATCH('Smart T-Stats'!G30,#REF!,0),11),References!$AD$14),0)</f>
        <v>0</v>
      </c>
      <c r="N51" s="748" t="e">
        <f t="shared" si="5"/>
        <v>#REF!</v>
      </c>
      <c r="O51" s="748" t="e">
        <f t="shared" si="6"/>
        <v>#REF!</v>
      </c>
      <c r="P51" s="544">
        <f>IF(E51&lt;&gt;"",IF(E51="Learning",((I51/12000)*(12/L51)*N51*References!#REF!)+((K51/12000)*(12/M51)*O51*References!#REF!),INDEX(References!#REF!,MATCH('Smart T-Stats'!J30,References!$D$10:$D$12,0))),0)</f>
        <v>0</v>
      </c>
      <c r="Q51" s="544">
        <f>P51*References!$AW$12/1000</f>
        <v>0</v>
      </c>
      <c r="R51" s="100">
        <f>P51*References!$R$429</f>
        <v>0</v>
      </c>
      <c r="S51" s="1468" t="str">
        <f>IF('Smart T-Stats'!H30="","",IF(References!#REF!=TRUE,"HP Thermostat",IF(OR(RIGHT('Smart T-Stats'!H30,2)="HP",'Smart T-Stats'!I30="Electric Heat"),"CH Thermostat Heating Cooling","CH Thermostat Cooling")))</f>
        <v/>
      </c>
      <c r="T51" s="1468"/>
      <c r="U51" s="1468"/>
      <c r="V51" s="1468" t="str">
        <f t="shared" si="7"/>
        <v/>
      </c>
      <c r="W51" s="1468"/>
      <c r="X51" s="1468"/>
      <c r="Y51" s="100" t="str">
        <f>IF(V51="","",INDEX(References!#REF!,MATCH(V51,References!#REF!,0)))</f>
        <v/>
      </c>
      <c r="Z51" s="100" t="str">
        <f>IF(E51="","",IF(E51="Learning",0,INDEX(References!#REF!,MATCH('Smart T-Stats'!J30,References!$D$10:$D$12,0))))</f>
        <v/>
      </c>
    </row>
    <row r="52" spans="1:56" ht="14.15" hidden="1" customHeight="1"/>
    <row r="53" spans="1:56" ht="14.15" hidden="1" customHeight="1">
      <c r="A53" s="100" t="s">
        <v>738</v>
      </c>
      <c r="N53" s="544"/>
      <c r="O53" s="544"/>
      <c r="P53" s="544"/>
    </row>
    <row r="54" spans="1:56" ht="14.15" hidden="1" customHeight="1">
      <c r="C54" s="760"/>
      <c r="D54" s="760"/>
      <c r="E54" s="760"/>
      <c r="F54" s="760"/>
      <c r="G54" s="760"/>
      <c r="H54" s="760"/>
      <c r="I54" s="768"/>
      <c r="J54" s="768"/>
      <c r="K54" s="761"/>
      <c r="L54" s="760"/>
      <c r="M54" s="760"/>
      <c r="N54" s="761"/>
      <c r="O54" s="760"/>
      <c r="P54" s="760"/>
      <c r="Q54" s="760"/>
      <c r="R54" s="760"/>
      <c r="S54" s="760"/>
      <c r="T54" s="760"/>
      <c r="U54" s="760"/>
      <c r="V54" s="760"/>
      <c r="W54" s="760"/>
      <c r="AN54" s="565"/>
      <c r="AO54" s="565"/>
    </row>
    <row r="55" spans="1:56" ht="14.15" hidden="1" customHeight="1">
      <c r="A55" s="100" t="s">
        <v>196</v>
      </c>
      <c r="C55" s="760" t="s">
        <v>416</v>
      </c>
      <c r="D55" s="760"/>
      <c r="E55" s="760" t="s">
        <v>1375</v>
      </c>
      <c r="F55" s="760"/>
      <c r="G55" s="760" t="s">
        <v>621</v>
      </c>
      <c r="H55" s="760"/>
      <c r="I55" s="768" t="s">
        <v>622</v>
      </c>
      <c r="J55" s="768"/>
      <c r="K55" s="760" t="s">
        <v>623</v>
      </c>
      <c r="L55" s="760" t="s">
        <v>12</v>
      </c>
      <c r="M55" s="760" t="s">
        <v>14</v>
      </c>
      <c r="N55" s="760" t="s">
        <v>571</v>
      </c>
      <c r="O55" s="760" t="s">
        <v>624</v>
      </c>
      <c r="P55" s="760" t="s">
        <v>625</v>
      </c>
      <c r="Q55" s="760" t="s">
        <v>626</v>
      </c>
      <c r="R55" s="760" t="s">
        <v>627</v>
      </c>
      <c r="S55" s="760"/>
      <c r="T55" s="760"/>
      <c r="U55" s="760"/>
      <c r="V55" s="760"/>
      <c r="W55" s="760" t="s">
        <v>157</v>
      </c>
    </row>
    <row r="56" spans="1:56" ht="14.15" hidden="1" customHeight="1">
      <c r="A56" s="100">
        <v>11</v>
      </c>
      <c r="C56" s="748">
        <f>'Smart T-Stats'!D35</f>
        <v>0</v>
      </c>
      <c r="D56" s="748"/>
      <c r="E56" s="1463" t="e">
        <f>IF(#REF!="","",#REF!)</f>
        <v>#REF!</v>
      </c>
      <c r="F56" s="1463"/>
      <c r="G56" s="749">
        <f>'Smart T-Stats'!G35</f>
        <v>0</v>
      </c>
      <c r="H56" s="749"/>
      <c r="I56" s="748"/>
      <c r="J56" s="748"/>
      <c r="K56" s="748">
        <f>IF(C56&lt;&gt;0,IF(G56&lt;&gt;0,INDEX(#REF!,MATCH(A56,#REF!,0),7),36000),0)</f>
        <v>0</v>
      </c>
      <c r="L56" s="100">
        <f>IF(C56&lt;&gt;0,IF(G56&lt;&gt;0,INDEX(#REF!,MATCH(A56,#REF!,0),9),References!$BE$9),0)</f>
        <v>0</v>
      </c>
      <c r="M56" s="100">
        <f>IF(C56&lt;&gt;0,IF(G56&lt;&gt;0,INDEX(#REF!,MATCH(A56,#REF!,0),11),References!$AD$14),0)</f>
        <v>0</v>
      </c>
      <c r="N56" s="748">
        <f>BA41</f>
        <v>0</v>
      </c>
      <c r="O56" s="748">
        <f>BB41</f>
        <v>0</v>
      </c>
      <c r="P56" s="544">
        <v>0</v>
      </c>
      <c r="Q56" s="544">
        <v>0</v>
      </c>
      <c r="R56" s="100">
        <f>P56*References!$R$429</f>
        <v>0</v>
      </c>
      <c r="W56" s="100" t="e">
        <f>_xlfn.IFNA(INDEX(IF(References!$R$502=FALSE,References!#REF!,References!#REF!),MATCH(E56,References!$AY$19:$AY$21,0)),0)</f>
        <v>#REF!</v>
      </c>
    </row>
    <row r="57" spans="1:56" hidden="1">
      <c r="A57" s="100">
        <v>12</v>
      </c>
      <c r="C57" s="748">
        <f>'Smart T-Stats'!D36</f>
        <v>0</v>
      </c>
      <c r="D57" s="748"/>
      <c r="E57" s="1463" t="e">
        <f>IF(#REF!="","",#REF!)</f>
        <v>#REF!</v>
      </c>
      <c r="F57" s="1463"/>
      <c r="G57" s="749">
        <f>'Smart T-Stats'!G36</f>
        <v>0</v>
      </c>
      <c r="H57" s="749"/>
      <c r="I57" s="748"/>
      <c r="J57" s="748"/>
      <c r="K57" s="748">
        <f>IF(C57&lt;&gt;0,IF(G57&lt;&gt;0,INDEX(#REF!,MATCH(A57,#REF!,0),7),36000),0)</f>
        <v>0</v>
      </c>
      <c r="L57" s="100">
        <f>IF(C57&lt;&gt;0,IF(G57&lt;&gt;0,INDEX(#REF!,MATCH(A57,#REF!,0),9),References!$BE$9),0)</f>
        <v>0</v>
      </c>
      <c r="M57" s="100">
        <f>IF(C57&lt;&gt;0,IF(G57&lt;&gt;0,INDEX(#REF!,MATCH(A57,#REF!,0),11),References!$AD$14),0)</f>
        <v>0</v>
      </c>
      <c r="N57" s="748">
        <f>BA42</f>
        <v>0</v>
      </c>
      <c r="O57" s="748">
        <f>BB42</f>
        <v>0</v>
      </c>
      <c r="P57" s="544">
        <v>0</v>
      </c>
      <c r="Q57" s="544">
        <v>0</v>
      </c>
      <c r="R57" s="100">
        <f>P57*References!$R$429</f>
        <v>0</v>
      </c>
      <c r="W57" s="100" t="e">
        <f>IF(W56&gt;0,0,_xlfn.IFNA(INDEX(IF(References!$R$502=FALSE,References!#REF!,References!#REF!),MATCH(E57,References!$AY$19:$AY$21,0)),0))</f>
        <v>#REF!</v>
      </c>
    </row>
    <row r="58" spans="1:56" hidden="1"/>
    <row r="59" spans="1:56" hidden="1">
      <c r="A59" s="100" t="s">
        <v>1023</v>
      </c>
    </row>
    <row r="60" spans="1:56" ht="15" hidden="1" customHeight="1">
      <c r="C60" s="1464" t="s">
        <v>1024</v>
      </c>
      <c r="D60" s="1464"/>
      <c r="E60" s="1464"/>
      <c r="F60" s="1464"/>
      <c r="G60" s="1464"/>
      <c r="H60" s="1464"/>
      <c r="I60" s="1464"/>
      <c r="J60" s="1464"/>
      <c r="K60" s="1464"/>
      <c r="L60" s="1464"/>
      <c r="M60" s="1464"/>
      <c r="N60" s="1464"/>
      <c r="O60" s="1464"/>
      <c r="P60" s="1464"/>
      <c r="Q60" s="1464"/>
      <c r="R60" s="1464"/>
      <c r="S60" s="1464"/>
      <c r="T60" s="1464"/>
      <c r="U60" s="1464"/>
      <c r="V60" s="1464"/>
      <c r="W60" s="1464"/>
      <c r="X60" s="1464"/>
      <c r="Y60" s="1464"/>
      <c r="Z60" s="768"/>
      <c r="AA60" s="1465" t="s">
        <v>1045</v>
      </c>
      <c r="AB60" s="762" t="s">
        <v>388</v>
      </c>
      <c r="AU60" s="1465" t="s">
        <v>1273</v>
      </c>
      <c r="AV60" s="1465" t="s">
        <v>1050</v>
      </c>
      <c r="AW60" s="1465" t="s">
        <v>1051</v>
      </c>
      <c r="AX60" s="1465" t="s">
        <v>1052</v>
      </c>
      <c r="AY60" s="1465" t="s">
        <v>1054</v>
      </c>
      <c r="AZ60" s="1465" t="s">
        <v>1053</v>
      </c>
      <c r="BA60" s="1465" t="s">
        <v>1055</v>
      </c>
      <c r="BB60" s="1465" t="s">
        <v>1056</v>
      </c>
      <c r="BC60" s="1465" t="s">
        <v>1254</v>
      </c>
      <c r="BD60" s="1465" t="s">
        <v>382</v>
      </c>
    </row>
    <row r="61" spans="1:56" ht="29.25" hidden="1" customHeight="1">
      <c r="A61" s="100" t="s">
        <v>196</v>
      </c>
      <c r="C61" s="763" t="s">
        <v>1026</v>
      </c>
      <c r="D61" s="763"/>
      <c r="E61" s="763" t="s">
        <v>1030</v>
      </c>
      <c r="F61" s="763" t="s">
        <v>1029</v>
      </c>
      <c r="G61" s="763" t="s">
        <v>1035</v>
      </c>
      <c r="H61" s="763"/>
      <c r="I61" s="763" t="s">
        <v>1036</v>
      </c>
      <c r="J61" s="763"/>
      <c r="K61" s="763" t="s">
        <v>1037</v>
      </c>
      <c r="L61" s="763" t="s">
        <v>1038</v>
      </c>
      <c r="M61" s="763" t="s">
        <v>1039</v>
      </c>
      <c r="N61" s="763" t="s">
        <v>1025</v>
      </c>
      <c r="O61" s="763" t="s">
        <v>1031</v>
      </c>
      <c r="P61" s="763" t="s">
        <v>1032</v>
      </c>
      <c r="Q61" s="763" t="s">
        <v>1033</v>
      </c>
      <c r="R61" s="763" t="s">
        <v>1163</v>
      </c>
      <c r="S61" s="763" t="s">
        <v>1034</v>
      </c>
      <c r="T61" s="763" t="s">
        <v>1027</v>
      </c>
      <c r="U61" s="763" t="s">
        <v>1040</v>
      </c>
      <c r="V61" s="763" t="s">
        <v>1041</v>
      </c>
      <c r="W61" s="763" t="s">
        <v>1042</v>
      </c>
      <c r="X61" s="763" t="s">
        <v>1164</v>
      </c>
      <c r="Y61" s="763" t="s">
        <v>1043</v>
      </c>
      <c r="Z61" s="768" t="s">
        <v>1044</v>
      </c>
      <c r="AA61" s="1465"/>
      <c r="AB61" s="762"/>
      <c r="AU61" s="1465"/>
      <c r="AV61" s="1465"/>
      <c r="AW61" s="1465"/>
      <c r="AX61" s="1465"/>
      <c r="AY61" s="1465"/>
      <c r="AZ61" s="1465"/>
      <c r="BA61" s="1465"/>
      <c r="BB61" s="1465"/>
      <c r="BC61" s="1465"/>
      <c r="BD61" s="1465"/>
    </row>
    <row r="62" spans="1:56" hidden="1">
      <c r="A62" s="100">
        <v>1</v>
      </c>
      <c r="C62" s="752"/>
      <c r="D62" s="752"/>
      <c r="E62" s="752">
        <f>Worksheet!$J$19</f>
        <v>0</v>
      </c>
      <c r="F62" s="752">
        <f>Worksheet!$J$17</f>
        <v>0</v>
      </c>
      <c r="G62" s="753">
        <f>Worksheet!$J$21</f>
        <v>0</v>
      </c>
      <c r="H62" s="753"/>
      <c r="I62" s="752"/>
      <c r="J62" s="752"/>
      <c r="K62" s="752">
        <f>Worksheet!$J$32</f>
        <v>0</v>
      </c>
      <c r="L62" s="752">
        <f>Worksheet!$J$30</f>
        <v>0</v>
      </c>
      <c r="M62" s="753">
        <f>Worksheet!$J$34</f>
        <v>0</v>
      </c>
      <c r="N62" s="752">
        <f>Worksheet!$D$15</f>
        <v>0</v>
      </c>
      <c r="O62" s="752" t="e">
        <f>IF(Worksheet!$D$19="",Worksheet!#REF!*3.412,Worksheet!$D$19)</f>
        <v>#REF!</v>
      </c>
      <c r="P62" s="752" t="e">
        <f>IF(Worksheet!#REF!="",Worksheet!$D$19/3.412,Worksheet!#REF!)</f>
        <v>#REF!</v>
      </c>
      <c r="Q62" s="752">
        <f>Worksheet!$D$17</f>
        <v>0</v>
      </c>
      <c r="R62" s="752">
        <f>Worksheet!$D$13</f>
        <v>0</v>
      </c>
      <c r="S62" s="753">
        <f>Worksheet!$D$21</f>
        <v>0</v>
      </c>
      <c r="T62" s="749">
        <f>Worksheet!$D$28</f>
        <v>0</v>
      </c>
      <c r="U62" s="749">
        <f>IF(Worksheet!$D$32="",Worksheet!$D$34*3.412,Worksheet!$D$32)</f>
        <v>0</v>
      </c>
      <c r="V62" s="749">
        <f>IF(Worksheet!$D$34="",Worksheet!$D$32/3.412,Worksheet!$D$34)</f>
        <v>0</v>
      </c>
      <c r="W62" s="749">
        <f>Worksheet!$D$30</f>
        <v>0</v>
      </c>
      <c r="X62" s="749">
        <f>Worksheet!$D$26</f>
        <v>0</v>
      </c>
      <c r="Y62" s="749">
        <f>Worksheet!$D$36</f>
        <v>0</v>
      </c>
      <c r="Z62" s="748" t="e">
        <f>$BB$27</f>
        <v>#REF!</v>
      </c>
      <c r="AA62" s="748" t="e">
        <f>$BC$27</f>
        <v>#REF!</v>
      </c>
      <c r="AB62" s="748"/>
      <c r="AU62" s="748" t="e">
        <f>IF(OR(AG103="",#REF!="",#REF!=0,#REF!="",#REF!=0,AR103=0,AR103="- Please Select -"),"",INDEX(References!$AW$108:$AW$118,MATCH(AG103,References!$AV$108:$AV$118,0)))</f>
        <v>#REF!</v>
      </c>
      <c r="AV62" s="748" t="e">
        <f>IF(OR(AR103=0,LEFT(AR103,9)="Heating ("),0,IF(OR(AR103="Cooling (1)",AR103="Heating &amp; Cooling (1)"),(#REF!/#REF!)*((C62/1000)*(1/E62)),IF(OR(AR103="Cooling (2)",AR103="Heating &amp; Cooling (2)"),(#REF!/#REF!)*(I62/1000)*(1/K62),(#REF!/#REF!)*((C62/1000)*(1/E62)*G62+(I62/1000)*(1/K62)*M62))))*(1-(AN103/AP103))*(1-AJ103)</f>
        <v>#DIV/0!</v>
      </c>
      <c r="AW62" s="748" t="e">
        <f>IF(OR(AR103=0,AX103=0),0,IF(OR(AR103="Heating (1)",AR103="Heating &amp; Cooling (1)"),(#REF!/#REF!)*((N62/1000)*(1/P62)),IF(OR(AR103="Heating (2)",AR103="Heating &amp; Cooling (2)"),(#REF!/#REF!)*(T62/1000)*(1/V62),(#REF!/#REF!)*((N62/1000)*(1/P62)*S62+(T62/1000)*(1/V62)*Y62))))*(1-(AN103/AP103))*(1-AJ103)</f>
        <v>#DIV/0!</v>
      </c>
      <c r="AX62" s="748" t="e">
        <f>(#REF!/#REF!)*AW103*(1-(AN103/AP103))*(1-AJ103)</f>
        <v>#REF!</v>
      </c>
      <c r="AY62" s="748" t="e">
        <f>AX62*References!#REF!</f>
        <v>#REF!</v>
      </c>
      <c r="AZ62" s="748" t="e">
        <f>(#REF!/#REF!)*AX103*(1-(AO103/AQ103))*(1-AK103)</f>
        <v>#REF!</v>
      </c>
      <c r="BA62" s="748" t="e">
        <f>AZ62*References!#REF!</f>
        <v>#REF!</v>
      </c>
      <c r="BB62" s="748" t="e">
        <f>((#REF!/#REF!)*AY103*(1-(AO103/AQ103))*(1-AK103))/10</f>
        <v>#REF!</v>
      </c>
      <c r="BC62" s="748" t="e">
        <f>AX62+AZ62</f>
        <v>#REF!</v>
      </c>
      <c r="BD62" s="748" t="e">
        <f>AY62+BA62+BB62</f>
        <v>#REF!</v>
      </c>
    </row>
    <row r="63" spans="1:56" hidden="1">
      <c r="A63" s="100">
        <f>A62+1</f>
        <v>2</v>
      </c>
      <c r="C63" s="752"/>
      <c r="D63" s="752"/>
      <c r="E63" s="752">
        <f>Worksheet!$J$19</f>
        <v>0</v>
      </c>
      <c r="F63" s="752">
        <f>Worksheet!$J$17</f>
        <v>0</v>
      </c>
      <c r="G63" s="753">
        <f>Worksheet!$J$21</f>
        <v>0</v>
      </c>
      <c r="H63" s="753"/>
      <c r="I63" s="752"/>
      <c r="J63" s="752"/>
      <c r="K63" s="752">
        <f>Worksheet!$J$32</f>
        <v>0</v>
      </c>
      <c r="L63" s="752">
        <f>Worksheet!$J$30</f>
        <v>0</v>
      </c>
      <c r="M63" s="753">
        <f>Worksheet!$J$34</f>
        <v>0</v>
      </c>
      <c r="N63" s="752">
        <f>Worksheet!$D$15</f>
        <v>0</v>
      </c>
      <c r="O63" s="752" t="e">
        <f>IF(Worksheet!$D$19="",Worksheet!#REF!*3.412,Worksheet!$D$19)</f>
        <v>#REF!</v>
      </c>
      <c r="P63" s="752" t="e">
        <f>IF(Worksheet!#REF!="",Worksheet!$D$19/3.412,Worksheet!#REF!)</f>
        <v>#REF!</v>
      </c>
      <c r="Q63" s="752">
        <f>Worksheet!$D$17</f>
        <v>0</v>
      </c>
      <c r="R63" s="752">
        <f>Worksheet!$D$13</f>
        <v>0</v>
      </c>
      <c r="S63" s="753">
        <f>Worksheet!$D$21</f>
        <v>0</v>
      </c>
      <c r="T63" s="749">
        <f>Worksheet!$D$28</f>
        <v>0</v>
      </c>
      <c r="U63" s="749">
        <f>IF(Worksheet!$D$32="",Worksheet!$D$34*3.412,Worksheet!$D$32)</f>
        <v>0</v>
      </c>
      <c r="V63" s="749">
        <f>IF(Worksheet!$D$34="",Worksheet!$D$32/3.412,Worksheet!$D$34)</f>
        <v>0</v>
      </c>
      <c r="W63" s="749">
        <f>Worksheet!$D$30</f>
        <v>0</v>
      </c>
      <c r="X63" s="749">
        <f>Worksheet!$D$26</f>
        <v>0</v>
      </c>
      <c r="Y63" s="749">
        <f>Worksheet!$D$36</f>
        <v>0</v>
      </c>
      <c r="Z63" s="748" t="e">
        <f>$BB$27</f>
        <v>#REF!</v>
      </c>
      <c r="AA63" s="748" t="e">
        <f>$BC$27</f>
        <v>#REF!</v>
      </c>
      <c r="AB63" s="748"/>
      <c r="AU63" s="748" t="e">
        <f>IF(OR(AG104="",#REF!="",#REF!=0,#REF!="",#REF!=0,AR104=0,AR104="- Please Select -"),"",INDEX(References!$AW$108:$AW$118,MATCH(AG104,References!$AV$108:$AV$118,0)))</f>
        <v>#REF!</v>
      </c>
      <c r="AV63" s="748" t="e">
        <f>IF(OR(AR104=0,LEFT(AR104,9)="Heating ("),0,IF(OR(AR104="Cooling (1)",AR104="Heating &amp; Cooling (1)"),(#REF!/#REF!)*((C63/1000)*(1/E63)),IF(OR(AR104="Cooling (2)",AR104="Heating &amp; Cooling (2)"),(#REF!/#REF!)*(I63/1000)*(1/K63),(#REF!/#REF!)*((C63/1000)*(1/E63)*G63+(I63/1000)*(1/K63)*M63))))*(1-(AN104/AP104))*(1-AJ104)</f>
        <v>#DIV/0!</v>
      </c>
      <c r="AW63" s="748" t="e">
        <f>IF(OR(AR104=0,AX104=0),0,IF(OR(AR104="Heating (1)",AR104="Heating &amp; Cooling (1)"),(#REF!/#REF!)*((N63/1000)*(1/P63)),IF(OR(AR104="Heating (2)",AR104="Heating &amp; Cooling (2)"),(#REF!/#REF!)*(T63/1000)*(1/V63),(#REF!/#REF!)*((N63/1000)*(1/P63)*S63+(T63/1000)*(1/V63)*Y63))))*(1-(AN104/AP104))*(1-AJ104)</f>
        <v>#DIV/0!</v>
      </c>
      <c r="AX63" s="748" t="e">
        <f>(#REF!/#REF!)*AW104*(1-(AN104/AP104))*(1-AJ104)</f>
        <v>#REF!</v>
      </c>
      <c r="AY63" s="748" t="e">
        <f>AX63*References!#REF!</f>
        <v>#REF!</v>
      </c>
      <c r="AZ63" s="748" t="e">
        <f>(#REF!/#REF!)*AX104*(1-(AO104/AQ104))*(1-AK104)</f>
        <v>#REF!</v>
      </c>
      <c r="BA63" s="748" t="e">
        <f>AZ63*References!#REF!</f>
        <v>#REF!</v>
      </c>
      <c r="BB63" s="748" t="e">
        <f>((#REF!/#REF!)*AY104*(1-(AO104/AQ104))*(1-AK104))/10</f>
        <v>#REF!</v>
      </c>
      <c r="BC63" s="748" t="e">
        <f t="shared" ref="BC63:BC64" si="8">AX63+AZ63</f>
        <v>#REF!</v>
      </c>
      <c r="BD63" s="748" t="e">
        <f t="shared" ref="BD63:BD64" si="9">AY63+BA63+BB63</f>
        <v>#REF!</v>
      </c>
    </row>
    <row r="64" spans="1:56" hidden="1">
      <c r="A64" s="100">
        <f t="shared" ref="A64:A67" si="10">A63+1</f>
        <v>3</v>
      </c>
      <c r="C64" s="752"/>
      <c r="D64" s="752"/>
      <c r="E64" s="752">
        <f>Worksheet!$J$19</f>
        <v>0</v>
      </c>
      <c r="F64" s="752">
        <f>Worksheet!$J$17</f>
        <v>0</v>
      </c>
      <c r="G64" s="753">
        <f>Worksheet!$J$21</f>
        <v>0</v>
      </c>
      <c r="H64" s="753"/>
      <c r="I64" s="752"/>
      <c r="J64" s="752"/>
      <c r="K64" s="752">
        <f>Worksheet!$J$32</f>
        <v>0</v>
      </c>
      <c r="L64" s="752">
        <f>Worksheet!$J$30</f>
        <v>0</v>
      </c>
      <c r="M64" s="753">
        <f>Worksheet!$J$34</f>
        <v>0</v>
      </c>
      <c r="N64" s="752">
        <f>Worksheet!$D$15</f>
        <v>0</v>
      </c>
      <c r="O64" s="752" t="e">
        <f>IF(Worksheet!$D$19="",Worksheet!#REF!*3.412,Worksheet!$D$19)</f>
        <v>#REF!</v>
      </c>
      <c r="P64" s="752" t="e">
        <f>IF(Worksheet!#REF!="",Worksheet!$D$19/3.412,Worksheet!#REF!)</f>
        <v>#REF!</v>
      </c>
      <c r="Q64" s="752">
        <f>Worksheet!$D$17</f>
        <v>0</v>
      </c>
      <c r="R64" s="752">
        <f>Worksheet!$D$13</f>
        <v>0</v>
      </c>
      <c r="S64" s="753">
        <f>Worksheet!$D$21</f>
        <v>0</v>
      </c>
      <c r="T64" s="749">
        <f>Worksheet!$D$28</f>
        <v>0</v>
      </c>
      <c r="U64" s="749">
        <f>IF(Worksheet!$D$32="",Worksheet!$D$34*3.412,Worksheet!$D$32)</f>
        <v>0</v>
      </c>
      <c r="V64" s="749">
        <f>IF(Worksheet!$D$34="",Worksheet!$D$32/3.412,Worksheet!$D$34)</f>
        <v>0</v>
      </c>
      <c r="W64" s="749">
        <f>Worksheet!$D$30</f>
        <v>0</v>
      </c>
      <c r="X64" s="749">
        <f>Worksheet!$D$26</f>
        <v>0</v>
      </c>
      <c r="Y64" s="749">
        <f>Worksheet!$D$36</f>
        <v>0</v>
      </c>
      <c r="Z64" s="748" t="e">
        <f>$BB$27</f>
        <v>#REF!</v>
      </c>
      <c r="AA64" s="748" t="e">
        <f>$BC$27</f>
        <v>#REF!</v>
      </c>
      <c r="AB64" s="544"/>
      <c r="AU64" s="748" t="e">
        <f>IF(OR(AG105="",#REF!="",#REF!=0,#REF!="",#REF!=0,AR105=0,AR105="- Please Select -"),"",INDEX(References!$AW$108:$AW$118,MATCH(AG105,References!$AV$108:$AV$118,0)))</f>
        <v>#REF!</v>
      </c>
      <c r="AV64" s="748" t="e">
        <f>IF(OR(AR105=0,LEFT(AR105,9)="Heating ("),0,IF(OR(AR105="Cooling (1)",AR105="Heating &amp; Cooling (1)"),(#REF!/#REF!)*((C64/1000)*(1/E64)),IF(OR(AR105="Cooling (2)",AR105="Heating &amp; Cooling (2)"),(#REF!/#REF!)*(I64/1000)*(1/K64),(#REF!/#REF!)*((C64/1000)*(1/E64)*G64+(I64/1000)*(1/K64)*M64))))*(1-(AN105/AP105))*(1-AJ105)</f>
        <v>#DIV/0!</v>
      </c>
      <c r="AW64" s="748" t="e">
        <f>IF(OR(AR105=0,AX105=0),0,IF(OR(AR105="Heating (1)",AR105="Heating &amp; Cooling (1)"),(#REF!/#REF!)*((N64/1000)*(1/P64)),IF(OR(AR105="Heating (2)",AR105="Heating &amp; Cooling (2)"),(#REF!/#REF!)*(T64/1000)*(1/V64),(#REF!/#REF!)*((N64/1000)*(1/P64)*S64+(T64/1000)*(1/V64)*Y64))))*(1-(AN105/AP105))*(1-AJ105)</f>
        <v>#DIV/0!</v>
      </c>
      <c r="AX64" s="748" t="e">
        <f>(#REF!/#REF!)*AW105*(1-(AN105/AP105))*(1-AJ105)</f>
        <v>#REF!</v>
      </c>
      <c r="AY64" s="748" t="e">
        <f>AX64*References!#REF!</f>
        <v>#REF!</v>
      </c>
      <c r="AZ64" s="748" t="e">
        <f>(#REF!/#REF!)*AX105*(1-(AO105/AQ105))*(1-AK105)</f>
        <v>#REF!</v>
      </c>
      <c r="BA64" s="748" t="e">
        <f>AZ64*References!#REF!</f>
        <v>#REF!</v>
      </c>
      <c r="BB64" s="748" t="e">
        <f>((#REF!/#REF!)*AY105*(1-(AO105/AQ105))*(1-AK105))/10</f>
        <v>#REF!</v>
      </c>
      <c r="BC64" s="748" t="e">
        <f t="shared" si="8"/>
        <v>#REF!</v>
      </c>
      <c r="BD64" s="748" t="e">
        <f t="shared" si="9"/>
        <v>#REF!</v>
      </c>
    </row>
    <row r="65" spans="1:70" ht="15" hidden="1" customHeight="1">
      <c r="A65" s="100">
        <f t="shared" si="10"/>
        <v>4</v>
      </c>
      <c r="C65" s="748"/>
      <c r="D65" s="748"/>
      <c r="E65" s="748"/>
      <c r="F65" s="748"/>
      <c r="G65" s="748"/>
      <c r="H65" s="748"/>
      <c r="I65" s="748"/>
      <c r="J65" s="748"/>
      <c r="K65" s="748"/>
      <c r="L65" s="748"/>
      <c r="M65" s="748"/>
      <c r="N65" s="748"/>
      <c r="O65" s="748"/>
      <c r="P65" s="748"/>
      <c r="Q65" s="748"/>
      <c r="R65" s="748"/>
      <c r="S65" s="748"/>
      <c r="T65" s="749"/>
      <c r="U65" s="749"/>
      <c r="V65" s="749"/>
      <c r="W65" s="749"/>
      <c r="X65" s="749"/>
      <c r="Y65" s="749"/>
      <c r="Z65" s="748"/>
      <c r="AA65" s="544"/>
      <c r="AB65" s="544"/>
      <c r="AU65" s="748"/>
      <c r="AV65" s="748"/>
      <c r="AW65" s="544"/>
      <c r="AX65" s="544"/>
      <c r="AY65" s="748"/>
      <c r="AZ65" s="544"/>
      <c r="BA65" s="544"/>
      <c r="BB65" s="748"/>
      <c r="BC65" s="544"/>
      <c r="BD65" s="748"/>
    </row>
    <row r="66" spans="1:70" hidden="1">
      <c r="A66" s="100">
        <f t="shared" si="10"/>
        <v>5</v>
      </c>
      <c r="C66" s="748"/>
      <c r="D66" s="748"/>
      <c r="E66" s="748"/>
      <c r="F66" s="748"/>
      <c r="G66" s="748"/>
      <c r="H66" s="748"/>
      <c r="I66" s="748"/>
      <c r="J66" s="748"/>
      <c r="K66" s="748"/>
      <c r="L66" s="748"/>
      <c r="M66" s="748"/>
      <c r="N66" s="748"/>
      <c r="O66" s="748"/>
      <c r="P66" s="748"/>
      <c r="Q66" s="748"/>
      <c r="R66" s="748"/>
      <c r="S66" s="748"/>
      <c r="T66" s="749"/>
      <c r="U66" s="749"/>
      <c r="V66" s="749"/>
      <c r="W66" s="749"/>
      <c r="X66" s="749"/>
      <c r="Y66" s="749"/>
      <c r="Z66" s="748"/>
      <c r="AA66" s="544"/>
      <c r="AB66" s="544"/>
      <c r="AU66" s="748"/>
      <c r="AV66" s="748"/>
      <c r="AW66" s="544"/>
      <c r="AX66" s="544"/>
      <c r="AY66" s="748"/>
      <c r="AZ66" s="544"/>
      <c r="BA66" s="544"/>
      <c r="BB66" s="748"/>
      <c r="BC66" s="544"/>
      <c r="BD66" s="748"/>
    </row>
    <row r="67" spans="1:70" hidden="1">
      <c r="A67" s="100">
        <f t="shared" si="10"/>
        <v>6</v>
      </c>
      <c r="C67" s="748"/>
      <c r="D67" s="748"/>
      <c r="E67" s="748"/>
      <c r="F67" s="748"/>
      <c r="G67" s="748"/>
      <c r="H67" s="748"/>
      <c r="I67" s="748"/>
      <c r="J67" s="748"/>
      <c r="K67" s="748"/>
      <c r="L67" s="748"/>
      <c r="M67" s="748"/>
      <c r="N67" s="748"/>
      <c r="O67" s="748"/>
      <c r="P67" s="748"/>
      <c r="Q67" s="748"/>
      <c r="R67" s="748"/>
      <c r="S67" s="748"/>
      <c r="T67" s="749"/>
      <c r="U67" s="749"/>
      <c r="V67" s="749"/>
      <c r="W67" s="749"/>
      <c r="X67" s="749"/>
      <c r="Y67" s="749"/>
      <c r="Z67" s="748"/>
      <c r="AA67" s="544"/>
      <c r="AB67" s="544"/>
      <c r="AU67" s="748"/>
      <c r="AV67" s="748"/>
      <c r="AW67" s="544"/>
      <c r="AX67" s="544"/>
      <c r="AY67" s="748"/>
      <c r="AZ67" s="544"/>
      <c r="BA67" s="544"/>
      <c r="BB67" s="748"/>
      <c r="BC67" s="544"/>
      <c r="BD67" s="748"/>
    </row>
    <row r="68" spans="1:70" hidden="1">
      <c r="BC68" s="100" t="s">
        <v>1188</v>
      </c>
      <c r="BD68" s="769" t="e">
        <f>IF(AND(AU62="",AU63="",AU64=""),0,IF(References!$R$502=TRUE,MIN(References!$T$506,Worksheet!$D$48),MIN(References!$S$506,Worksheet!$D$48)))</f>
        <v>#REF!</v>
      </c>
    </row>
    <row r="69" spans="1:70" hidden="1">
      <c r="A69" s="100" t="s">
        <v>1074</v>
      </c>
    </row>
    <row r="70" spans="1:70" ht="15" hidden="1" customHeight="1">
      <c r="C70" s="1464" t="s">
        <v>1024</v>
      </c>
      <c r="D70" s="1464"/>
      <c r="E70" s="1464"/>
      <c r="F70" s="1464"/>
      <c r="G70" s="1464"/>
      <c r="H70" s="1464"/>
      <c r="I70" s="1464"/>
      <c r="J70" s="1464"/>
      <c r="K70" s="1464"/>
      <c r="L70" s="1464"/>
      <c r="M70" s="1464"/>
      <c r="N70" s="1464"/>
      <c r="O70" s="1464"/>
      <c r="P70" s="1464"/>
      <c r="Q70" s="1464"/>
      <c r="R70" s="1464"/>
      <c r="S70" s="1464"/>
      <c r="T70" s="1464"/>
      <c r="U70" s="1464"/>
      <c r="V70" s="1464"/>
      <c r="W70" s="1464"/>
      <c r="X70" s="1464"/>
      <c r="Y70" s="1464"/>
      <c r="Z70" s="768"/>
      <c r="AA70" s="1464" t="s">
        <v>1045</v>
      </c>
      <c r="AB70" s="762" t="s">
        <v>388</v>
      </c>
      <c r="AU70" s="1465" t="s">
        <v>1273</v>
      </c>
      <c r="AV70" s="1465" t="s">
        <v>1050</v>
      </c>
      <c r="AW70" s="1465" t="s">
        <v>1051</v>
      </c>
      <c r="AX70" s="1465" t="s">
        <v>625</v>
      </c>
      <c r="AY70" s="1465" t="s">
        <v>1257</v>
      </c>
      <c r="AZ70" s="1465" t="s">
        <v>1178</v>
      </c>
      <c r="BA70" s="1465" t="s">
        <v>382</v>
      </c>
      <c r="BB70" s="762"/>
      <c r="BC70" s="762"/>
      <c r="BD70" s="762"/>
    </row>
    <row r="71" spans="1:70" ht="43.5" hidden="1" customHeight="1">
      <c r="A71" s="100" t="s">
        <v>196</v>
      </c>
      <c r="C71" s="762" t="s">
        <v>1026</v>
      </c>
      <c r="D71" s="762"/>
      <c r="E71" s="762" t="s">
        <v>1030</v>
      </c>
      <c r="F71" s="762" t="s">
        <v>1029</v>
      </c>
      <c r="G71" s="762" t="s">
        <v>1035</v>
      </c>
      <c r="H71" s="762"/>
      <c r="I71" s="762" t="s">
        <v>1036</v>
      </c>
      <c r="J71" s="762"/>
      <c r="K71" s="762" t="s">
        <v>1037</v>
      </c>
      <c r="L71" s="762" t="s">
        <v>1038</v>
      </c>
      <c r="M71" s="762" t="s">
        <v>1039</v>
      </c>
      <c r="N71" s="762" t="s">
        <v>1025</v>
      </c>
      <c r="O71" s="762" t="s">
        <v>1031</v>
      </c>
      <c r="P71" s="762" t="s">
        <v>1032</v>
      </c>
      <c r="Q71" s="762" t="s">
        <v>1033</v>
      </c>
      <c r="R71" s="763" t="s">
        <v>1163</v>
      </c>
      <c r="S71" s="762" t="s">
        <v>1034</v>
      </c>
      <c r="T71" s="762" t="s">
        <v>1027</v>
      </c>
      <c r="U71" s="762" t="s">
        <v>1040</v>
      </c>
      <c r="V71" s="762" t="s">
        <v>1041</v>
      </c>
      <c r="W71" s="762" t="s">
        <v>1042</v>
      </c>
      <c r="X71" s="762" t="s">
        <v>1164</v>
      </c>
      <c r="Y71" s="762" t="s">
        <v>1043</v>
      </c>
      <c r="Z71" s="768" t="s">
        <v>1044</v>
      </c>
      <c r="AA71" s="1464"/>
      <c r="AB71" s="762"/>
      <c r="AU71" s="1465"/>
      <c r="AV71" s="1465"/>
      <c r="AW71" s="1465"/>
      <c r="AX71" s="1465"/>
      <c r="AY71" s="1465"/>
      <c r="AZ71" s="1465"/>
      <c r="BA71" s="1465"/>
      <c r="BB71" s="762"/>
      <c r="BC71" s="762"/>
      <c r="BD71" s="762"/>
    </row>
    <row r="72" spans="1:70" hidden="1">
      <c r="A72" s="100">
        <v>1</v>
      </c>
      <c r="C72" s="752"/>
      <c r="D72" s="752"/>
      <c r="E72" s="752">
        <f>Worksheet!$J$19</f>
        <v>0</v>
      </c>
      <c r="F72" s="752">
        <f>Worksheet!$J$17</f>
        <v>0</v>
      </c>
      <c r="G72" s="753">
        <f>Worksheet!$J$21</f>
        <v>0</v>
      </c>
      <c r="H72" s="753"/>
      <c r="I72" s="752"/>
      <c r="J72" s="752"/>
      <c r="K72" s="752">
        <f>Worksheet!$J$32</f>
        <v>0</v>
      </c>
      <c r="L72" s="752">
        <f>Worksheet!$J$30</f>
        <v>0</v>
      </c>
      <c r="M72" s="753">
        <f>Worksheet!$J$34</f>
        <v>0</v>
      </c>
      <c r="N72" s="752">
        <f>Worksheet!$D$15</f>
        <v>0</v>
      </c>
      <c r="O72" s="752">
        <f>Worksheet!$D$19</f>
        <v>0</v>
      </c>
      <c r="P72" s="752" t="e">
        <f>Worksheet!#REF!</f>
        <v>#REF!</v>
      </c>
      <c r="Q72" s="752">
        <f>Worksheet!$D$17</f>
        <v>0</v>
      </c>
      <c r="R72" s="752">
        <f>Worksheet!$D$13</f>
        <v>0</v>
      </c>
      <c r="S72" s="753">
        <f>Worksheet!$D$21</f>
        <v>0</v>
      </c>
      <c r="T72" s="749">
        <f>Worksheet!$D$28</f>
        <v>0</v>
      </c>
      <c r="U72" s="749">
        <f>Worksheet!$D$32</f>
        <v>0</v>
      </c>
      <c r="V72" s="749">
        <f>Worksheet!$D$34</f>
        <v>0</v>
      </c>
      <c r="W72" s="749">
        <f>Worksheet!$D$30</f>
        <v>0</v>
      </c>
      <c r="X72" s="749">
        <f>Worksheet!$D$26</f>
        <v>0</v>
      </c>
      <c r="Y72" s="749">
        <f>Worksheet!$D$36</f>
        <v>0</v>
      </c>
      <c r="Z72" s="748" t="e">
        <f>$BB$27</f>
        <v>#REF!</v>
      </c>
      <c r="AA72" s="748" t="e">
        <f>$BC$27</f>
        <v>#REF!</v>
      </c>
      <c r="AB72" s="748"/>
      <c r="AU72" s="748" t="e">
        <f>IF(OR(#REF!="",#REF!="",#REF!=0,#REF!=0),"",References!$AW$119)</f>
        <v>#REF!</v>
      </c>
      <c r="AV72" s="748" t="e">
        <f>(#REF!/(G114*H114))*(#REF!*G72+#REF!*M72)</f>
        <v>#REF!</v>
      </c>
      <c r="AW72" s="754" t="e">
        <f>(#REF!/(G114*H114))*(IF(RIGHT(I114,4)="Only",0,#REF!*S72)+IF(RIGHT(J114,4)="Only",0,#REF!*Y72))</f>
        <v>#REF!</v>
      </c>
      <c r="AX72" s="748" t="e">
        <f>(#REF!/(G114*H114))*(IF(LEFT(I114,4)="Only",0,#REF!*S72)+IF(LEFT(J114,4)="Only",0,#REF!*Y72))</f>
        <v>#REF!</v>
      </c>
      <c r="AY72" s="748" t="e">
        <f>AX72*References!#REF!</f>
        <v>#REF!</v>
      </c>
      <c r="AZ72" s="748" t="e">
        <f>(#REF!/(G114*H114))*(#REF!*G72+#REF!*Y72)/10</f>
        <v>#REF!</v>
      </c>
      <c r="BA72" s="748" t="e">
        <f>AY72+AZ72</f>
        <v>#REF!</v>
      </c>
      <c r="BB72" s="748"/>
      <c r="BC72" s="748"/>
      <c r="BD72" s="748"/>
    </row>
    <row r="73" spans="1:70" hidden="1">
      <c r="A73" s="100">
        <f>A72+1</f>
        <v>2</v>
      </c>
      <c r="C73" s="752"/>
      <c r="D73" s="752"/>
      <c r="E73" s="752"/>
      <c r="F73" s="752"/>
      <c r="G73" s="753"/>
      <c r="H73" s="753"/>
      <c r="I73" s="752"/>
      <c r="J73" s="752"/>
      <c r="K73" s="752"/>
      <c r="L73" s="752"/>
      <c r="M73" s="753"/>
      <c r="N73" s="752"/>
      <c r="O73" s="752"/>
      <c r="P73" s="752"/>
      <c r="Q73" s="752"/>
      <c r="R73" s="752"/>
      <c r="S73" s="753"/>
      <c r="T73" s="749"/>
      <c r="U73" s="749"/>
      <c r="V73" s="749"/>
      <c r="W73" s="749"/>
      <c r="X73" s="749"/>
      <c r="Y73" s="749"/>
      <c r="Z73" s="748"/>
      <c r="AA73" s="748"/>
      <c r="AB73" s="748"/>
      <c r="AU73" s="748"/>
      <c r="AV73" s="748"/>
      <c r="AW73" s="748"/>
      <c r="AX73" s="748"/>
      <c r="AY73" s="748"/>
      <c r="AZ73" s="748"/>
      <c r="BA73" s="544"/>
      <c r="BB73" s="748"/>
      <c r="BC73" s="544"/>
    </row>
    <row r="74" spans="1:70" hidden="1">
      <c r="AZ74" s="100" t="s">
        <v>1188</v>
      </c>
      <c r="BA74" s="769" t="e">
        <f>IF(AU72="",0,IF(References!$R$502=TRUE,MIN(References!$T$507,Worksheet!$D$87),MIN(References!$S$507,Worksheet!$D$87)))</f>
        <v>#REF!</v>
      </c>
    </row>
    <row r="75" spans="1:70" hidden="1">
      <c r="A75" s="100" t="s">
        <v>1075</v>
      </c>
    </row>
    <row r="76" spans="1:70" ht="15" hidden="1" customHeight="1">
      <c r="C76" s="1464" t="s">
        <v>1024</v>
      </c>
      <c r="D76" s="1464"/>
      <c r="E76" s="1464"/>
      <c r="F76" s="1464"/>
      <c r="G76" s="1464"/>
      <c r="H76" s="1464"/>
      <c r="I76" s="1464"/>
      <c r="J76" s="1464"/>
      <c r="K76" s="1464"/>
      <c r="L76" s="1464"/>
      <c r="M76" s="1464"/>
      <c r="N76" s="1464"/>
      <c r="O76" s="1464"/>
      <c r="P76" s="1464"/>
      <c r="Q76" s="1464"/>
      <c r="R76" s="1464"/>
      <c r="S76" s="1464"/>
      <c r="T76" s="1464"/>
      <c r="U76" s="1464"/>
      <c r="V76" s="1464"/>
      <c r="W76" s="1464"/>
      <c r="X76" s="1464"/>
      <c r="Y76" s="1464"/>
      <c r="Z76" s="763"/>
      <c r="AA76" s="1466" t="s">
        <v>1045</v>
      </c>
      <c r="AB76" s="1466" t="s">
        <v>388</v>
      </c>
    </row>
    <row r="77" spans="1:70" ht="61.5" hidden="1" customHeight="1">
      <c r="A77" s="100" t="s">
        <v>196</v>
      </c>
      <c r="C77" s="763" t="s">
        <v>1026</v>
      </c>
      <c r="D77" s="763"/>
      <c r="E77" s="763" t="s">
        <v>1030</v>
      </c>
      <c r="F77" s="763" t="s">
        <v>1029</v>
      </c>
      <c r="G77" s="763" t="s">
        <v>1035</v>
      </c>
      <c r="H77" s="763"/>
      <c r="I77" s="763" t="s">
        <v>1036</v>
      </c>
      <c r="J77" s="763"/>
      <c r="K77" s="763" t="s">
        <v>1037</v>
      </c>
      <c r="L77" s="763" t="s">
        <v>1038</v>
      </c>
      <c r="M77" s="763" t="s">
        <v>1039</v>
      </c>
      <c r="N77" s="763" t="s">
        <v>1025</v>
      </c>
      <c r="O77" s="763" t="s">
        <v>1031</v>
      </c>
      <c r="P77" s="763" t="s">
        <v>1032</v>
      </c>
      <c r="Q77" s="763" t="s">
        <v>1033</v>
      </c>
      <c r="R77" s="763" t="s">
        <v>1163</v>
      </c>
      <c r="S77" s="763" t="s">
        <v>1034</v>
      </c>
      <c r="T77" s="763" t="s">
        <v>1027</v>
      </c>
      <c r="U77" s="763" t="s">
        <v>1040</v>
      </c>
      <c r="V77" s="763" t="s">
        <v>1041</v>
      </c>
      <c r="W77" s="763" t="s">
        <v>1042</v>
      </c>
      <c r="X77" s="763" t="s">
        <v>1164</v>
      </c>
      <c r="Y77" s="763" t="s">
        <v>1043</v>
      </c>
      <c r="Z77" s="763" t="s">
        <v>1044</v>
      </c>
      <c r="AA77" s="1466"/>
      <c r="AB77" s="1466"/>
      <c r="BF77" s="768" t="s">
        <v>1217</v>
      </c>
      <c r="BG77" s="768" t="s">
        <v>1218</v>
      </c>
      <c r="BH77" s="768" t="s">
        <v>1219</v>
      </c>
      <c r="BJ77" s="768" t="s">
        <v>145</v>
      </c>
      <c r="BK77" s="768" t="s">
        <v>1216</v>
      </c>
      <c r="BL77" s="768" t="s">
        <v>1051</v>
      </c>
      <c r="BM77" s="768" t="s">
        <v>1177</v>
      </c>
      <c r="BN77" s="768" t="s">
        <v>1257</v>
      </c>
      <c r="BO77" s="768" t="s">
        <v>1178</v>
      </c>
      <c r="BP77" s="768" t="s">
        <v>382</v>
      </c>
      <c r="BQ77" s="768"/>
      <c r="BR77" s="768"/>
    </row>
    <row r="78" spans="1:70" hidden="1">
      <c r="A78" s="100">
        <v>1</v>
      </c>
      <c r="C78" s="752"/>
      <c r="D78" s="752"/>
      <c r="E78" s="752">
        <f>Worksheet!$J$19</f>
        <v>0</v>
      </c>
      <c r="F78" s="752">
        <f>Worksheet!$J$17</f>
        <v>0</v>
      </c>
      <c r="G78" s="753">
        <f>Worksheet!$J$21</f>
        <v>0</v>
      </c>
      <c r="H78" s="753"/>
      <c r="I78" s="752"/>
      <c r="J78" s="752"/>
      <c r="K78" s="752">
        <f>Worksheet!$J$32</f>
        <v>0</v>
      </c>
      <c r="L78" s="752">
        <f>Worksheet!$J$30</f>
        <v>0</v>
      </c>
      <c r="M78" s="753">
        <f>Worksheet!$J$34</f>
        <v>0</v>
      </c>
      <c r="N78" s="752">
        <f>Worksheet!$D$15</f>
        <v>0</v>
      </c>
      <c r="O78" s="752">
        <f>Worksheet!$D$19</f>
        <v>0</v>
      </c>
      <c r="P78" s="752" t="e">
        <f>Worksheet!#REF!</f>
        <v>#REF!</v>
      </c>
      <c r="Q78" s="752">
        <f>Worksheet!$D$17</f>
        <v>0</v>
      </c>
      <c r="R78" s="752">
        <f>Worksheet!$D$13</f>
        <v>0</v>
      </c>
      <c r="S78" s="753">
        <f>Worksheet!$D$21</f>
        <v>0</v>
      </c>
      <c r="T78" s="749">
        <f>Worksheet!$D$28</f>
        <v>0</v>
      </c>
      <c r="U78" s="749">
        <f>Worksheet!$D$32</f>
        <v>0</v>
      </c>
      <c r="V78" s="749">
        <f>Worksheet!$D$34</f>
        <v>0</v>
      </c>
      <c r="W78" s="749">
        <f>Worksheet!$D$30</f>
        <v>0</v>
      </c>
      <c r="X78" s="749">
        <f>Worksheet!$D$26</f>
        <v>0</v>
      </c>
      <c r="Y78" s="749">
        <f>Worksheet!$D$36</f>
        <v>0</v>
      </c>
      <c r="Z78" s="748" t="e">
        <f>$BB$27</f>
        <v>#REF!</v>
      </c>
      <c r="AA78" s="748" t="e">
        <f>$BC$27</f>
        <v>#REF!</v>
      </c>
      <c r="AB78" s="748"/>
      <c r="BF78" s="754">
        <f>AQ120*G78+AT120*M78</f>
        <v>0</v>
      </c>
      <c r="BG78" s="748">
        <f>IF(AF120="AC w/ Fossil Fuel",AK120*G78+AN120*M78,AK120*S78+AN120*Y78)</f>
        <v>0</v>
      </c>
      <c r="BH78" s="748">
        <f>AW120*S78+AZ120*Y78</f>
        <v>0</v>
      </c>
      <c r="BJ78" s="754" t="e">
        <f>IF(OR(#REF!="",#REF!="",#REF!="",AC120=0,AC120=""),"",INDEX(References!$AW$120:$AW$123,MATCH(IF(AC120="Attic 2","Attic",AC120),References!$AV$120:$AV$123,0)))</f>
        <v>#REF!</v>
      </c>
      <c r="BK78" s="754" t="e">
        <f>BF78*#REF!/1000</f>
        <v>#REF!</v>
      </c>
      <c r="BL78" s="748" t="e">
        <f>BF78*#REF!/1000</f>
        <v>#REF!</v>
      </c>
      <c r="BM78" s="748" t="e">
        <f>BG78*#REF!/1000</f>
        <v>#REF!</v>
      </c>
      <c r="BN78" s="748" t="e">
        <f>BM78*References!#REF!</f>
        <v>#REF!</v>
      </c>
      <c r="BO78" s="748" t="e">
        <f>BH78/10*#REF!/1000</f>
        <v>#REF!</v>
      </c>
      <c r="BP78" s="748" t="e">
        <f>BN78+BO78</f>
        <v>#REF!</v>
      </c>
      <c r="BQ78" s="748"/>
      <c r="BR78" s="748"/>
    </row>
    <row r="79" spans="1:70" hidden="1">
      <c r="A79" s="100">
        <f>A78+1</f>
        <v>2</v>
      </c>
      <c r="C79" s="752"/>
      <c r="D79" s="752"/>
      <c r="E79" s="752">
        <f>Worksheet!$J$19</f>
        <v>0</v>
      </c>
      <c r="F79" s="752">
        <f>Worksheet!$J$17</f>
        <v>0</v>
      </c>
      <c r="G79" s="753">
        <f>Worksheet!$J$21</f>
        <v>0</v>
      </c>
      <c r="H79" s="753"/>
      <c r="I79" s="752"/>
      <c r="J79" s="752"/>
      <c r="K79" s="752">
        <f>Worksheet!$J$32</f>
        <v>0</v>
      </c>
      <c r="L79" s="752">
        <f>Worksheet!$J$30</f>
        <v>0</v>
      </c>
      <c r="M79" s="753">
        <f>Worksheet!$J$34</f>
        <v>0</v>
      </c>
      <c r="N79" s="752">
        <f>Worksheet!$D$15</f>
        <v>0</v>
      </c>
      <c r="O79" s="752">
        <f>Worksheet!$D$19</f>
        <v>0</v>
      </c>
      <c r="P79" s="752" t="e">
        <f>Worksheet!#REF!</f>
        <v>#REF!</v>
      </c>
      <c r="Q79" s="752">
        <f>Worksheet!$D$17</f>
        <v>0</v>
      </c>
      <c r="R79" s="752">
        <f>Worksheet!$D$13</f>
        <v>0</v>
      </c>
      <c r="S79" s="753">
        <f>Worksheet!$D$21</f>
        <v>0</v>
      </c>
      <c r="T79" s="749">
        <f>Worksheet!$D$28</f>
        <v>0</v>
      </c>
      <c r="U79" s="749">
        <f>Worksheet!$D$32</f>
        <v>0</v>
      </c>
      <c r="V79" s="749">
        <f>Worksheet!$D$34</f>
        <v>0</v>
      </c>
      <c r="W79" s="749">
        <f>Worksheet!$D$30</f>
        <v>0</v>
      </c>
      <c r="X79" s="749">
        <f>Worksheet!$D$26</f>
        <v>0</v>
      </c>
      <c r="Y79" s="749">
        <f>Worksheet!$D$36</f>
        <v>0</v>
      </c>
      <c r="Z79" s="748" t="e">
        <f>$BB$27</f>
        <v>#REF!</v>
      </c>
      <c r="AA79" s="748" t="e">
        <f>$BC$27</f>
        <v>#REF!</v>
      </c>
      <c r="AB79" s="748"/>
      <c r="BF79" s="754">
        <f>AQ121*G79+AT121*M79</f>
        <v>0</v>
      </c>
      <c r="BG79" s="748">
        <f>IF(AF121="AC w/ Fossil Fuel",AK121*G79+AN121*M79,AK121*S79+AN121*Y79)</f>
        <v>0</v>
      </c>
      <c r="BH79" s="748">
        <f>AW121*S79+AZ121*Y79</f>
        <v>0</v>
      </c>
      <c r="BJ79" s="754" t="e">
        <f>IF(OR(#REF!="",#REF!="",#REF!="",AC121=0,AC121=""),"",INDEX(References!$AW$120:$AW$123,MATCH(IF(AC121="Attic 2","Attic",AC121),References!$AV$120:$AV$123,0)))</f>
        <v>#REF!</v>
      </c>
      <c r="BK79" s="754" t="e">
        <f>BF79*#REF!/1000</f>
        <v>#REF!</v>
      </c>
      <c r="BL79" s="748" t="e">
        <f>BF79*#REF!/1000</f>
        <v>#REF!</v>
      </c>
      <c r="BM79" s="748" t="e">
        <f>BG79*#REF!/1000</f>
        <v>#REF!</v>
      </c>
      <c r="BN79" s="748" t="e">
        <f>BM79*References!#REF!</f>
        <v>#REF!</v>
      </c>
      <c r="BO79" s="748" t="e">
        <f>BH79/10*#REF!/1000</f>
        <v>#REF!</v>
      </c>
      <c r="BP79" s="748" t="e">
        <f t="shared" ref="BP79:BP82" si="11">BN79+BO79</f>
        <v>#REF!</v>
      </c>
      <c r="BQ79" s="748"/>
      <c r="BR79" s="544"/>
    </row>
    <row r="80" spans="1:70" hidden="1">
      <c r="A80" s="100">
        <f t="shared" ref="A80:A87" si="12">A79+1</f>
        <v>3</v>
      </c>
      <c r="C80" s="752"/>
      <c r="D80" s="752"/>
      <c r="E80" s="752">
        <f>Worksheet!$J$19</f>
        <v>0</v>
      </c>
      <c r="F80" s="752">
        <f>Worksheet!$J$17</f>
        <v>0</v>
      </c>
      <c r="G80" s="753">
        <f>Worksheet!$J$21</f>
        <v>0</v>
      </c>
      <c r="H80" s="753"/>
      <c r="I80" s="752"/>
      <c r="J80" s="752"/>
      <c r="K80" s="752">
        <f>Worksheet!$J$32</f>
        <v>0</v>
      </c>
      <c r="L80" s="752">
        <f>Worksheet!$J$30</f>
        <v>0</v>
      </c>
      <c r="M80" s="753">
        <f>Worksheet!$J$34</f>
        <v>0</v>
      </c>
      <c r="N80" s="752">
        <f>Worksheet!$D$15</f>
        <v>0</v>
      </c>
      <c r="O80" s="752">
        <f>Worksheet!$D$19</f>
        <v>0</v>
      </c>
      <c r="P80" s="752" t="e">
        <f>Worksheet!#REF!</f>
        <v>#REF!</v>
      </c>
      <c r="Q80" s="752">
        <f>Worksheet!$D$17</f>
        <v>0</v>
      </c>
      <c r="R80" s="752">
        <f>Worksheet!$D$13</f>
        <v>0</v>
      </c>
      <c r="S80" s="753">
        <f>Worksheet!$D$21</f>
        <v>0</v>
      </c>
      <c r="T80" s="749">
        <f>Worksheet!$D$28</f>
        <v>0</v>
      </c>
      <c r="U80" s="749">
        <f>Worksheet!$D$32</f>
        <v>0</v>
      </c>
      <c r="V80" s="749">
        <f>Worksheet!$D$34</f>
        <v>0</v>
      </c>
      <c r="W80" s="749">
        <f>Worksheet!$D$30</f>
        <v>0</v>
      </c>
      <c r="X80" s="749">
        <f>Worksheet!$D$26</f>
        <v>0</v>
      </c>
      <c r="Y80" s="749">
        <f>Worksheet!$D$36</f>
        <v>0</v>
      </c>
      <c r="Z80" s="748" t="e">
        <f>$BB$27</f>
        <v>#REF!</v>
      </c>
      <c r="AA80" s="748" t="e">
        <f>$BC$27</f>
        <v>#REF!</v>
      </c>
      <c r="AB80" s="544"/>
      <c r="BF80" s="754">
        <f>AQ122*G80+AT122*M80</f>
        <v>0</v>
      </c>
      <c r="BG80" s="748">
        <f>IF(AF122="AC w/ Fossil Fuel",AK122*G80+AN122*M80,AK122*S80+AN122*Y80)</f>
        <v>0</v>
      </c>
      <c r="BH80" s="748">
        <f>AW122*S80+AZ122*Y80</f>
        <v>0</v>
      </c>
      <c r="BJ80" s="754" t="e">
        <f>IF(OR(#REF!="",#REF!="",#REF!="",AC122=0,AC122=""),"",INDEX(References!$AW$120:$AW$123,MATCH(IF(AC122="Attic 2","Attic",AC122),References!$AV$120:$AV$123,0)))</f>
        <v>#REF!</v>
      </c>
      <c r="BK80" s="754" t="e">
        <f>BF80*#REF!/1000</f>
        <v>#REF!</v>
      </c>
      <c r="BL80" s="748" t="e">
        <f>BF80*#REF!/1000</f>
        <v>#REF!</v>
      </c>
      <c r="BM80" s="748" t="e">
        <f>BG80*#REF!/1000</f>
        <v>#REF!</v>
      </c>
      <c r="BN80" s="748" t="e">
        <f>BM80*References!#REF!</f>
        <v>#REF!</v>
      </c>
      <c r="BO80" s="748" t="e">
        <f>BH80/10*#REF!/1000</f>
        <v>#REF!</v>
      </c>
      <c r="BP80" s="748" t="e">
        <f t="shared" si="11"/>
        <v>#REF!</v>
      </c>
      <c r="BQ80" s="748"/>
      <c r="BR80" s="544"/>
    </row>
    <row r="81" spans="1:70" hidden="1">
      <c r="A81" s="100">
        <f t="shared" si="12"/>
        <v>4</v>
      </c>
      <c r="C81" s="752"/>
      <c r="D81" s="752"/>
      <c r="E81" s="752">
        <f>Worksheet!$J$19</f>
        <v>0</v>
      </c>
      <c r="F81" s="752">
        <f>Worksheet!$J$17</f>
        <v>0</v>
      </c>
      <c r="G81" s="753">
        <f>Worksheet!$J$21</f>
        <v>0</v>
      </c>
      <c r="H81" s="753"/>
      <c r="I81" s="752"/>
      <c r="J81" s="752"/>
      <c r="K81" s="752">
        <f>Worksheet!$J$32</f>
        <v>0</v>
      </c>
      <c r="L81" s="752">
        <f>Worksheet!$J$30</f>
        <v>0</v>
      </c>
      <c r="M81" s="753">
        <f>Worksheet!$J$34</f>
        <v>0</v>
      </c>
      <c r="N81" s="752">
        <f>Worksheet!$D$15</f>
        <v>0</v>
      </c>
      <c r="O81" s="752">
        <f>Worksheet!$D$19</f>
        <v>0</v>
      </c>
      <c r="P81" s="752" t="e">
        <f>Worksheet!#REF!</f>
        <v>#REF!</v>
      </c>
      <c r="Q81" s="752">
        <f>Worksheet!$D$17</f>
        <v>0</v>
      </c>
      <c r="R81" s="752">
        <f>Worksheet!$D$13</f>
        <v>0</v>
      </c>
      <c r="S81" s="753">
        <f>Worksheet!$D$21</f>
        <v>0</v>
      </c>
      <c r="T81" s="749">
        <f>Worksheet!$D$28</f>
        <v>0</v>
      </c>
      <c r="U81" s="749">
        <f>Worksheet!$D$32</f>
        <v>0</v>
      </c>
      <c r="V81" s="749">
        <f>Worksheet!$D$34</f>
        <v>0</v>
      </c>
      <c r="W81" s="749">
        <f>Worksheet!$D$30</f>
        <v>0</v>
      </c>
      <c r="X81" s="749">
        <f>Worksheet!$D$26</f>
        <v>0</v>
      </c>
      <c r="Y81" s="749">
        <f>Worksheet!$D$36</f>
        <v>0</v>
      </c>
      <c r="Z81" s="748" t="e">
        <f>$BB$27</f>
        <v>#REF!</v>
      </c>
      <c r="AA81" s="748" t="e">
        <f>$BC$27</f>
        <v>#REF!</v>
      </c>
      <c r="AB81" s="544"/>
      <c r="BF81" s="754">
        <f>AQ123*G81+AT123*M81</f>
        <v>0</v>
      </c>
      <c r="BG81" s="748">
        <f>IF(AF123="AC w/ Fossil Fuel",AK123*G81+AN123*M81,AK123*S81+AN123*Y81)</f>
        <v>0</v>
      </c>
      <c r="BH81" s="748">
        <f>AW123*S81+AZ123*Y81</f>
        <v>0</v>
      </c>
      <c r="BJ81" s="754" t="e">
        <f>IF(OR(#REF!="",#REF!="",#REF!="",AC123=0,AC123=""),"",INDEX(References!$AW$120:$AW$123,MATCH(IF(AC123="Attic 2","Attic",AC123),References!$AV$120:$AV$123,0)))</f>
        <v>#REF!</v>
      </c>
      <c r="BK81" s="754" t="e">
        <f>BF81*#REF!/1000</f>
        <v>#REF!</v>
      </c>
      <c r="BL81" s="748" t="e">
        <f>BF81*#REF!/1000</f>
        <v>#REF!</v>
      </c>
      <c r="BM81" s="748" t="e">
        <f>BG81*#REF!/1000</f>
        <v>#REF!</v>
      </c>
      <c r="BN81" s="748" t="e">
        <f>BM81*References!#REF!</f>
        <v>#REF!</v>
      </c>
      <c r="BO81" s="748" t="e">
        <f>BH81/10*#REF!/1000</f>
        <v>#REF!</v>
      </c>
      <c r="BP81" s="748" t="e">
        <f t="shared" si="11"/>
        <v>#REF!</v>
      </c>
      <c r="BQ81" s="748"/>
      <c r="BR81" s="544"/>
    </row>
    <row r="82" spans="1:70" hidden="1">
      <c r="A82" s="100">
        <f t="shared" si="12"/>
        <v>5</v>
      </c>
      <c r="C82" s="752"/>
      <c r="D82" s="752"/>
      <c r="E82" s="752">
        <f>Worksheet!$J$19</f>
        <v>0</v>
      </c>
      <c r="F82" s="752">
        <f>Worksheet!$J$17</f>
        <v>0</v>
      </c>
      <c r="G82" s="753">
        <f>Worksheet!$J$21</f>
        <v>0</v>
      </c>
      <c r="H82" s="753"/>
      <c r="I82" s="752"/>
      <c r="J82" s="752"/>
      <c r="K82" s="752">
        <f>Worksheet!$J$32</f>
        <v>0</v>
      </c>
      <c r="L82" s="752">
        <f>Worksheet!$J$30</f>
        <v>0</v>
      </c>
      <c r="M82" s="753">
        <f>Worksheet!$J$34</f>
        <v>0</v>
      </c>
      <c r="N82" s="752">
        <f>Worksheet!$D$15</f>
        <v>0</v>
      </c>
      <c r="O82" s="752">
        <f>Worksheet!$D$19</f>
        <v>0</v>
      </c>
      <c r="P82" s="752" t="e">
        <f>Worksheet!#REF!</f>
        <v>#REF!</v>
      </c>
      <c r="Q82" s="752">
        <f>Worksheet!$D$17</f>
        <v>0</v>
      </c>
      <c r="R82" s="752">
        <f>Worksheet!$D$13</f>
        <v>0</v>
      </c>
      <c r="S82" s="753">
        <f>Worksheet!$D$21</f>
        <v>0</v>
      </c>
      <c r="T82" s="749">
        <f>Worksheet!$D$28</f>
        <v>0</v>
      </c>
      <c r="U82" s="749">
        <f>Worksheet!$D$32</f>
        <v>0</v>
      </c>
      <c r="V82" s="749">
        <f>Worksheet!$D$34</f>
        <v>0</v>
      </c>
      <c r="W82" s="749">
        <f>Worksheet!$D$30</f>
        <v>0</v>
      </c>
      <c r="X82" s="749">
        <f>Worksheet!$D$26</f>
        <v>0</v>
      </c>
      <c r="Y82" s="749">
        <f>Worksheet!$D$36</f>
        <v>0</v>
      </c>
      <c r="Z82" s="748" t="e">
        <f>$BB$27</f>
        <v>#REF!</v>
      </c>
      <c r="AA82" s="748" t="e">
        <f>$BC$27</f>
        <v>#REF!</v>
      </c>
      <c r="AB82" s="544"/>
      <c r="BF82" s="754">
        <f>AQ124*G82+AT124*M82</f>
        <v>0</v>
      </c>
      <c r="BG82" s="748">
        <f>IF(AF124="AC w/ Fossil Fuel",AK124*G82+AN124*M82,AK124*S82+AN124*Y82)</f>
        <v>0</v>
      </c>
      <c r="BH82" s="748">
        <f>AW124*S82+AZ124*Y82</f>
        <v>0</v>
      </c>
      <c r="BJ82" s="754" t="e">
        <f>IF(OR(#REF!="",#REF!="",#REF!="",AC124=0,AC124=""),"",INDEX(References!$AW$120:$AW$123,MATCH(IF(AC124="Attic 2","Attic",AC124),References!$AV$120:$AV$123,0)))</f>
        <v>#REF!</v>
      </c>
      <c r="BK82" s="754" t="e">
        <f>BF82*#REF!/1000</f>
        <v>#REF!</v>
      </c>
      <c r="BL82" s="748" t="e">
        <f>BF82*#REF!/1000</f>
        <v>#REF!</v>
      </c>
      <c r="BM82" s="748" t="e">
        <f>BG82*#REF!/1000</f>
        <v>#REF!</v>
      </c>
      <c r="BN82" s="748" t="e">
        <f>BM82*References!#REF!</f>
        <v>#REF!</v>
      </c>
      <c r="BO82" s="748" t="e">
        <f>BH82/10*#REF!/1000</f>
        <v>#REF!</v>
      </c>
      <c r="BP82" s="748" t="e">
        <f t="shared" si="11"/>
        <v>#REF!</v>
      </c>
      <c r="BQ82" s="748"/>
      <c r="BR82" s="544"/>
    </row>
    <row r="83" spans="1:70" hidden="1">
      <c r="A83" s="100">
        <f t="shared" si="12"/>
        <v>6</v>
      </c>
      <c r="C83" s="748"/>
      <c r="D83" s="748"/>
      <c r="E83" s="748"/>
      <c r="F83" s="748"/>
      <c r="G83" s="748"/>
      <c r="H83" s="748"/>
      <c r="I83" s="748"/>
      <c r="J83" s="748"/>
      <c r="K83" s="748"/>
      <c r="L83" s="748"/>
      <c r="M83" s="748"/>
      <c r="N83" s="748"/>
      <c r="O83" s="748"/>
      <c r="P83" s="748"/>
      <c r="Q83" s="748"/>
      <c r="R83" s="748"/>
      <c r="S83" s="748"/>
      <c r="T83" s="749"/>
      <c r="U83" s="749"/>
      <c r="V83" s="749"/>
      <c r="W83" s="749"/>
      <c r="X83" s="749"/>
      <c r="Y83" s="749"/>
      <c r="Z83" s="748"/>
      <c r="AA83" s="544"/>
      <c r="AB83" s="544"/>
      <c r="BF83" s="754"/>
      <c r="BG83" s="544"/>
      <c r="BH83" s="544"/>
      <c r="BJ83" s="748"/>
      <c r="BK83" s="748"/>
      <c r="BL83" s="544"/>
      <c r="BM83" s="544"/>
      <c r="BN83" s="544"/>
      <c r="BO83" s="544"/>
      <c r="BP83" s="544"/>
      <c r="BQ83" s="748"/>
      <c r="BR83" s="544"/>
    </row>
    <row r="84" spans="1:70" hidden="1">
      <c r="A84" s="100">
        <f t="shared" si="12"/>
        <v>7</v>
      </c>
      <c r="C84" s="748"/>
      <c r="D84" s="748"/>
      <c r="E84" s="748"/>
      <c r="F84" s="748"/>
      <c r="G84" s="748"/>
      <c r="H84" s="748"/>
      <c r="I84" s="748"/>
      <c r="J84" s="748"/>
      <c r="K84" s="748"/>
      <c r="L84" s="748"/>
      <c r="M84" s="748"/>
      <c r="N84" s="748"/>
      <c r="O84" s="748"/>
      <c r="P84" s="748"/>
      <c r="Q84" s="748"/>
      <c r="R84" s="748"/>
      <c r="S84" s="748"/>
      <c r="T84" s="749"/>
      <c r="U84" s="749"/>
      <c r="V84" s="749"/>
      <c r="W84" s="749"/>
      <c r="X84" s="749"/>
      <c r="Y84" s="749"/>
      <c r="Z84" s="748"/>
      <c r="AA84" s="544"/>
      <c r="AB84" s="544"/>
      <c r="BF84" s="748"/>
      <c r="BG84" s="544"/>
      <c r="BH84" s="544"/>
      <c r="BJ84" s="748"/>
      <c r="BK84" s="748"/>
      <c r="BL84" s="544"/>
      <c r="BM84" s="544"/>
      <c r="BN84" s="544"/>
      <c r="BO84" s="544"/>
      <c r="BP84" s="544"/>
      <c r="BQ84" s="748"/>
      <c r="BR84" s="544"/>
    </row>
    <row r="85" spans="1:70" hidden="1">
      <c r="A85" s="100">
        <f t="shared" si="12"/>
        <v>8</v>
      </c>
      <c r="C85" s="748"/>
      <c r="D85" s="748"/>
      <c r="E85" s="748"/>
      <c r="F85" s="748"/>
      <c r="G85" s="748"/>
      <c r="H85" s="748"/>
      <c r="I85" s="748"/>
      <c r="J85" s="748"/>
      <c r="K85" s="748"/>
      <c r="L85" s="748"/>
      <c r="M85" s="748"/>
      <c r="N85" s="748"/>
      <c r="O85" s="748"/>
      <c r="P85" s="748"/>
      <c r="Q85" s="748"/>
      <c r="R85" s="748"/>
      <c r="S85" s="748"/>
      <c r="T85" s="749"/>
      <c r="U85" s="749"/>
      <c r="V85" s="749"/>
      <c r="W85" s="749"/>
      <c r="X85" s="749"/>
      <c r="Y85" s="749"/>
      <c r="Z85" s="748"/>
      <c r="AA85" s="544"/>
      <c r="AB85" s="544"/>
      <c r="BF85" s="748"/>
      <c r="BG85" s="544"/>
      <c r="BH85" s="544"/>
      <c r="BJ85" s="748"/>
      <c r="BK85" s="748"/>
      <c r="BL85" s="544"/>
      <c r="BM85" s="544"/>
      <c r="BN85" s="544"/>
      <c r="BO85" s="544"/>
      <c r="BP85" s="544"/>
      <c r="BQ85" s="748"/>
      <c r="BR85" s="544"/>
    </row>
    <row r="86" spans="1:70" hidden="1">
      <c r="A86" s="100">
        <f t="shared" si="12"/>
        <v>9</v>
      </c>
      <c r="C86" s="748"/>
      <c r="D86" s="748"/>
      <c r="E86" s="748"/>
      <c r="F86" s="748"/>
      <c r="G86" s="748"/>
      <c r="H86" s="748"/>
      <c r="I86" s="748"/>
      <c r="J86" s="748"/>
      <c r="K86" s="748"/>
      <c r="L86" s="748"/>
      <c r="M86" s="748"/>
      <c r="N86" s="748"/>
      <c r="O86" s="748"/>
      <c r="P86" s="748"/>
      <c r="Q86" s="748"/>
      <c r="R86" s="748"/>
      <c r="S86" s="748"/>
      <c r="T86" s="749"/>
      <c r="U86" s="749"/>
      <c r="V86" s="749"/>
      <c r="W86" s="749"/>
      <c r="X86" s="749"/>
      <c r="Y86" s="749"/>
      <c r="Z86" s="748"/>
      <c r="AA86" s="544"/>
      <c r="AB86" s="544"/>
      <c r="BF86" s="748"/>
      <c r="BG86" s="544"/>
      <c r="BH86" s="544"/>
      <c r="BJ86" s="748"/>
      <c r="BK86" s="748"/>
      <c r="BL86" s="544"/>
      <c r="BM86" s="544"/>
      <c r="BN86" s="544"/>
      <c r="BO86" s="544"/>
      <c r="BP86" s="544"/>
      <c r="BQ86" s="748"/>
      <c r="BR86" s="544"/>
    </row>
    <row r="87" spans="1:70" hidden="1">
      <c r="A87" s="100">
        <f t="shared" si="12"/>
        <v>10</v>
      </c>
      <c r="C87" s="748"/>
      <c r="D87" s="748"/>
      <c r="E87" s="748"/>
      <c r="F87" s="748"/>
      <c r="G87" s="748"/>
      <c r="H87" s="748"/>
      <c r="I87" s="748"/>
      <c r="J87" s="748"/>
      <c r="K87" s="748"/>
      <c r="L87" s="748"/>
      <c r="M87" s="748"/>
      <c r="N87" s="748"/>
      <c r="O87" s="748"/>
      <c r="P87" s="748"/>
      <c r="Q87" s="748"/>
      <c r="R87" s="748"/>
      <c r="S87" s="748"/>
      <c r="T87" s="749"/>
      <c r="U87" s="749"/>
      <c r="V87" s="749"/>
      <c r="W87" s="749"/>
      <c r="X87" s="749"/>
      <c r="Y87" s="749"/>
      <c r="Z87" s="748"/>
      <c r="AA87" s="544"/>
      <c r="AB87" s="544"/>
      <c r="BF87" s="748"/>
      <c r="BG87" s="544"/>
      <c r="BH87" s="544"/>
      <c r="BJ87" s="748"/>
      <c r="BK87" s="748"/>
      <c r="BL87" s="544"/>
      <c r="BM87" s="544"/>
      <c r="BN87" s="544"/>
      <c r="BO87" s="544"/>
      <c r="BP87" s="544"/>
      <c r="BQ87" s="748"/>
      <c r="BR87" s="544"/>
    </row>
    <row r="88" spans="1:70">
      <c r="BO88" s="100" t="s">
        <v>1188</v>
      </c>
      <c r="BP88" s="769" t="e">
        <f>IF(AND(BJ78="",BJ79="",BJ80="",BJ81="",BJ82=""),0,IF(References!$R$502=TRUE,MIN(References!$T$508,Worksheet!$D$107),MIN(References!$S$508,Worksheet!$D$107)))</f>
        <v>#REF!</v>
      </c>
    </row>
    <row r="91" spans="1:70" ht="14.5" customHeight="1">
      <c r="B91" s="1464" t="s">
        <v>1024</v>
      </c>
      <c r="C91" s="1464"/>
      <c r="D91" s="1464"/>
      <c r="E91" s="1464"/>
      <c r="F91" s="1464"/>
      <c r="G91" s="1464"/>
      <c r="H91" s="1464"/>
      <c r="I91" s="1464"/>
      <c r="J91" s="1464"/>
      <c r="K91" s="1464"/>
      <c r="L91" s="1464"/>
      <c r="M91" s="1464"/>
      <c r="N91" s="1464"/>
      <c r="O91" s="1464"/>
      <c r="P91" s="1464"/>
      <c r="Q91" s="1464"/>
      <c r="R91" s="1464"/>
      <c r="S91" s="760"/>
      <c r="T91" s="760"/>
      <c r="U91" s="760"/>
      <c r="V91" s="760"/>
      <c r="W91" s="760"/>
      <c r="X91" s="760"/>
      <c r="Y91" s="760"/>
    </row>
    <row r="92" spans="1:70" s="779" customFormat="1" ht="39.65" customHeight="1">
      <c r="B92" s="780" t="s">
        <v>1713</v>
      </c>
      <c r="C92" s="780" t="s">
        <v>1714</v>
      </c>
      <c r="D92" s="780" t="s">
        <v>1717</v>
      </c>
      <c r="E92" s="780" t="s">
        <v>1715</v>
      </c>
      <c r="F92" s="780" t="s">
        <v>1722</v>
      </c>
      <c r="G92" s="780" t="s">
        <v>1720</v>
      </c>
      <c r="H92" s="780" t="s">
        <v>1755</v>
      </c>
      <c r="I92" s="780" t="s">
        <v>215</v>
      </c>
      <c r="J92" s="780" t="s">
        <v>1716</v>
      </c>
      <c r="K92" s="780" t="s">
        <v>1718</v>
      </c>
      <c r="L92" s="780" t="s">
        <v>1719</v>
      </c>
      <c r="M92" s="780" t="s">
        <v>1723</v>
      </c>
      <c r="N92" s="780" t="s">
        <v>1724</v>
      </c>
      <c r="O92" s="780" t="s">
        <v>1721</v>
      </c>
      <c r="P92" s="780" t="s">
        <v>1756</v>
      </c>
      <c r="Q92" s="781" t="s">
        <v>1044</v>
      </c>
      <c r="R92" s="782" t="s">
        <v>1045</v>
      </c>
      <c r="S92" s="780"/>
      <c r="T92" s="781"/>
      <c r="U92" s="782"/>
    </row>
    <row r="93" spans="1:70" s="518" customFormat="1">
      <c r="A93" s="518" t="s">
        <v>1711</v>
      </c>
      <c r="B93" s="789" t="str">
        <f>IF(Worksheet!$J$13="","",Worksheet!$J$13)</f>
        <v/>
      </c>
      <c r="C93" s="789">
        <f>IF(Worksheet!$J$15="",0,Worksheet!$J$15*12000)</f>
        <v>0</v>
      </c>
      <c r="D93" s="792" t="str">
        <f>IF(OR(B93="",C93=0),"",B93&amp;" "&amp;INDEX(References!$T$6:$AD$25,MATCH(Qualifying_Index!B93,References!$R$6:$R$25,0),MATCH(Qualifying_Index!C93,References!$S$5:$AD$5,1)))</f>
        <v/>
      </c>
      <c r="E93" s="792" t="str">
        <f>IF(D93="","",INDEX(References!$S$29:$S$82,MATCH(D93,References!$R$29:$R$82,0)))</f>
        <v/>
      </c>
      <c r="F93" s="792" t="str">
        <f>IF(D93="","",INDEX(References!$T$29:$T$82,MATCH(D93,References!$R$29:$R$82,0)))</f>
        <v/>
      </c>
      <c r="G93" s="775">
        <f>IF(D93="",0,C93/(C93+C94))</f>
        <v>0</v>
      </c>
      <c r="H93" s="793">
        <f>IF(D93="",0,INDEX(References!$W$29:$W$82,MATCH(D93,References!$R$29:$R$82,0)))</f>
        <v>0</v>
      </c>
      <c r="I93" s="790" t="str">
        <f>IF(Worksheet!$D$13="","",Worksheet!$D$13)</f>
        <v/>
      </c>
      <c r="J93" s="789">
        <f>Worksheet!$D$15</f>
        <v>0</v>
      </c>
      <c r="K93" s="792" t="str">
        <f>IF(OR(I93="",J93=0),"",I93&amp;" "&amp;INDEX(References!$T$6:$AD$26,MATCH(I93,References!$R$6:$R$26,0),MATCH(J93,References!$S$5:$AD$5,1)))</f>
        <v/>
      </c>
      <c r="L93" s="792" t="str">
        <f>IF(K93="","",INDEX(References!$U$29:$U$82,MATCH(K93,References!$R$29:$R$82,0)))</f>
        <v/>
      </c>
      <c r="M93" s="792" t="str">
        <f>IF(K93="","",INDEX(References!$V$29:$V$82,MATCH(K93,References!$R$29:$R$82,0)))</f>
        <v/>
      </c>
      <c r="N93" s="792" t="str">
        <f>IF(K93="","",INDEX(References!$X$29:$X$82,MATCH(K93,References!$R$29:$R$82,0)))</f>
        <v/>
      </c>
      <c r="O93" s="790" t="str">
        <f>IF(K93="","",J93/(J93+J94))</f>
        <v/>
      </c>
      <c r="P93" s="793">
        <f>IF(K93="",0,INDEX(References!$W$29:$W$82,MATCH(K93,References!$R$29:$R$82,0)))</f>
        <v>0</v>
      </c>
      <c r="Q93" s="794" t="e">
        <f>References!C$34</f>
        <v>#N/A</v>
      </c>
      <c r="R93" s="794" t="e">
        <f>References!D$34</f>
        <v>#N/A</v>
      </c>
      <c r="S93" s="773"/>
      <c r="T93" s="772" t="s">
        <v>2029</v>
      </c>
      <c r="U93" s="803">
        <f>SUM(C103:C105,C114,C120:C124,C135,C142)</f>
        <v>1100</v>
      </c>
    </row>
    <row r="94" spans="1:70" s="518" customFormat="1">
      <c r="A94" s="518" t="s">
        <v>1712</v>
      </c>
      <c r="B94" s="790" t="str">
        <f>IF(Worksheet!$J$26="","",Worksheet!$J$26)</f>
        <v/>
      </c>
      <c r="C94" s="789">
        <f>IF(Worksheet!$J$28="",0,Worksheet!$J$28*12000)</f>
        <v>0</v>
      </c>
      <c r="D94" s="792" t="str">
        <f>IF(OR(B94="",C94=0),"",B94&amp;" "&amp;INDEX(References!$T$6:$AD$25,MATCH(Qualifying_Index!B94,References!$R$6:$R$25,0),MATCH(Qualifying_Index!C94,References!$S$5:$AD$5,1)))</f>
        <v/>
      </c>
      <c r="E94" s="792">
        <f>IF(D94="",0,INDEX(References!$S$29:$S$82,MATCH(D94,References!$R$29:$R$82,0)))</f>
        <v>0</v>
      </c>
      <c r="F94" s="792">
        <f>IF(D94="",0,INDEX(References!$T$29:$T$82,MATCH(D94,References!$R$29:$R$82,0)))</f>
        <v>0</v>
      </c>
      <c r="G94" s="775">
        <f>IF(D94="",0,C94/(C94+C93))</f>
        <v>0</v>
      </c>
      <c r="H94" s="793">
        <f>IF(D94="",0,INDEX(References!$W$29:$W$82,MATCH(D94,References!$R$29:$R$82,0)))</f>
        <v>0</v>
      </c>
      <c r="I94" s="790" t="str">
        <f>IF(Worksheet!$D$26="","",Worksheet!$D$26)</f>
        <v/>
      </c>
      <c r="J94" s="789">
        <f>Worksheet!$D$28</f>
        <v>0</v>
      </c>
      <c r="K94" s="792" t="str">
        <f>IF(OR(I94="",J94=0),"",I94&amp;" "&amp;INDEX(References!$T$6:$AD$26,MATCH(I94,References!$R$6:$R$26,0),MATCH(J94,References!$S$5:$AD$5,1)))</f>
        <v/>
      </c>
      <c r="L94" s="792" t="str">
        <f>IF(K94="","",INDEX(References!$U$29:$U$82,MATCH(K94,References!$R$29:$R$82,0)))</f>
        <v/>
      </c>
      <c r="M94" s="792" t="str">
        <f>IF(K94="","",INDEX(References!$V$29:$V$82,MATCH(K94,References!$R$29:$R$82,0)))</f>
        <v/>
      </c>
      <c r="N94" s="792" t="b">
        <f>IF(K94="",FALSE,INDEX(References!$X$29:$X$82,MATCH(K94,References!$R$29:$R$82,0)))</f>
        <v>0</v>
      </c>
      <c r="O94" s="790">
        <f>IF(K94="",0,J94/(J94+J93))</f>
        <v>0</v>
      </c>
      <c r="P94" s="793">
        <f>IF(K94="",0,INDEX(References!$W$29:$W$82,MATCH(K94,References!$R$29:$R$82,0)))</f>
        <v>0</v>
      </c>
      <c r="Q94" s="794" t="e">
        <f>References!C$34</f>
        <v>#N/A</v>
      </c>
      <c r="R94" s="794" t="e">
        <f>References!D$34</f>
        <v>#N/A</v>
      </c>
      <c r="S94" s="773"/>
      <c r="T94" s="772" t="s">
        <v>232</v>
      </c>
      <c r="U94" s="803">
        <f>SUM(Worksheet!D48,Worksheet!D87,Worksheet!D107,Worksheet!D147,Worksheet!D165)</f>
        <v>0</v>
      </c>
    </row>
    <row r="95" spans="1:70" s="518" customFormat="1">
      <c r="A95" s="518" t="s">
        <v>1757</v>
      </c>
      <c r="B95" s="774"/>
      <c r="C95" s="774"/>
      <c r="D95" s="774"/>
      <c r="E95" s="774" t="str">
        <f>IFERROR((E93*G93)+(E94*G94),"")</f>
        <v/>
      </c>
      <c r="F95" s="774" t="str">
        <f>IFERROR((F93*G93)+(F94*G94),"")</f>
        <v/>
      </c>
      <c r="G95" s="790" t="str">
        <f>IF(SUM(G93:G94)=0,"",SUM(G93:G94))</f>
        <v/>
      </c>
      <c r="H95" s="800">
        <f>(H93*G93)+(H94*G94)</f>
        <v>0</v>
      </c>
      <c r="I95" s="774"/>
      <c r="J95" s="774"/>
      <c r="K95" s="774"/>
      <c r="L95" s="801">
        <f>IFERROR(IF(NOT(N93),L93*(O93/O95))+IF(AND(NOT(N94),L94=0),L94*(O94/O95)),0)</f>
        <v>0</v>
      </c>
      <c r="M95" s="801">
        <f>IFERROR(IF(NOT(N93),M93*(O93/O95))+IF(AND(NOT(N94)),M94*(O94/O95)),0)</f>
        <v>0</v>
      </c>
      <c r="N95" s="774"/>
      <c r="O95" s="790">
        <f>SUMIF(N93:N94,FALSE,O93:O94)</f>
        <v>0</v>
      </c>
      <c r="P95" s="802">
        <f>IF(O95=0,0,IF(N93=FALSE,P93*(O93/O95))+IF(N94=FALSE,P94*(O94/O95)))</f>
        <v>0</v>
      </c>
      <c r="Q95" s="774"/>
      <c r="R95" s="789" t="e">
        <f>IF(N93=FALSE,R93*(O93/O95))+IF(N94=FALSE,R94*(O94/O95))</f>
        <v>#N/A</v>
      </c>
      <c r="S95" s="773"/>
      <c r="T95" s="799" t="s">
        <v>2030</v>
      </c>
      <c r="U95" s="792">
        <f>U94*References!$Z$56</f>
        <v>0</v>
      </c>
    </row>
    <row r="96" spans="1:70" s="518" customFormat="1">
      <c r="A96" s="518" t="s">
        <v>1758</v>
      </c>
      <c r="B96" s="772"/>
      <c r="C96" s="772"/>
      <c r="D96" s="772"/>
      <c r="E96" s="772"/>
      <c r="F96" s="772"/>
      <c r="G96" s="772"/>
      <c r="H96" s="776"/>
      <c r="I96" s="772"/>
      <c r="J96" s="772"/>
      <c r="K96" s="772"/>
      <c r="L96" s="772"/>
      <c r="M96" s="801">
        <f>IFERROR(IF(N93,M93*(O93/O96))+IF(N94,M94*(O94/O96)),0)</f>
        <v>0</v>
      </c>
      <c r="N96" s="772"/>
      <c r="O96" s="791">
        <f>SUMIF(N93:N94,TRUE,O93:O94)</f>
        <v>0</v>
      </c>
      <c r="P96" s="802">
        <f>IF(O96=0,0,IF(N93,P93*(O93/O96))+IF(N94,P94*(O94/O96)))</f>
        <v>0</v>
      </c>
      <c r="Q96" s="772"/>
      <c r="R96" s="774">
        <f>IF(N93=TRUE,R93*(O93/O96))+IF(N94=TRUE,R94*(O94/O96))</f>
        <v>0</v>
      </c>
      <c r="S96" s="773"/>
      <c r="T96" s="772" t="s">
        <v>2031</v>
      </c>
      <c r="U96" s="789">
        <f>IF(U95&gt;U93,100%,U95/U93)</f>
        <v>0</v>
      </c>
    </row>
    <row r="97" spans="1:66">
      <c r="B97" s="748"/>
      <c r="C97" s="748"/>
      <c r="D97" s="748"/>
      <c r="E97" s="748"/>
      <c r="F97" s="748"/>
      <c r="G97" s="748"/>
      <c r="H97" s="755"/>
      <c r="I97" s="748"/>
      <c r="J97" s="748"/>
      <c r="K97" s="748"/>
      <c r="L97" s="748"/>
      <c r="M97" s="748"/>
      <c r="N97" s="748"/>
      <c r="O97" s="748"/>
      <c r="P97" s="755"/>
      <c r="Q97" s="748"/>
      <c r="R97" s="544"/>
      <c r="S97" s="749"/>
      <c r="T97" s="748"/>
      <c r="U97" s="544"/>
    </row>
    <row r="98" spans="1:66">
      <c r="B98" s="748"/>
      <c r="C98" s="748"/>
      <c r="D98" s="748"/>
      <c r="E98" s="748"/>
      <c r="F98" s="748"/>
      <c r="G98" s="748"/>
      <c r="H98" s="755"/>
      <c r="I98" s="748"/>
      <c r="J98" s="748"/>
      <c r="K98" s="748"/>
      <c r="L98" s="748"/>
      <c r="M98" s="748"/>
      <c r="N98" s="748"/>
      <c r="O98" s="748"/>
      <c r="P98" s="755"/>
      <c r="Q98" s="748"/>
      <c r="R98" s="544"/>
      <c r="S98" s="749"/>
      <c r="T98" s="748"/>
      <c r="U98" s="544"/>
    </row>
    <row r="99" spans="1:66">
      <c r="P99" s="770"/>
    </row>
    <row r="100" spans="1:66">
      <c r="A100" s="100" t="s">
        <v>787</v>
      </c>
    </row>
    <row r="101" spans="1:66" s="783" customFormat="1">
      <c r="B101" s="1467" t="s">
        <v>1865</v>
      </c>
      <c r="C101" s="1467"/>
      <c r="D101" s="1467"/>
      <c r="E101" s="1467"/>
      <c r="F101" s="1467"/>
      <c r="G101" s="1467"/>
      <c r="H101" s="1467"/>
      <c r="I101" s="1467"/>
      <c r="J101" s="1467"/>
      <c r="K101" s="1467"/>
      <c r="L101" s="1467"/>
      <c r="M101" s="1467"/>
      <c r="N101" s="1467"/>
      <c r="O101" s="1467"/>
      <c r="P101" s="1467"/>
      <c r="AG101" s="783" t="s">
        <v>1072</v>
      </c>
    </row>
    <row r="102" spans="1:66" s="783" customFormat="1">
      <c r="B102" s="781" t="s">
        <v>145</v>
      </c>
      <c r="C102" s="781" t="s">
        <v>157</v>
      </c>
      <c r="D102" s="781" t="s">
        <v>2030</v>
      </c>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row>
    <row r="103" spans="1:66" s="518" customFormat="1">
      <c r="B103" s="518" t="str">
        <f>IF(Worksheet!D62="","",References!$AB$100)</f>
        <v/>
      </c>
      <c r="C103" s="798">
        <f>IF(OR('Customer Information'!$C$22="Yes"),References!$AJ$100,References!$AI$100)</f>
        <v>200</v>
      </c>
      <c r="D103" s="798" t="str">
        <f>IF(B103="","",$U$96*C103)</f>
        <v/>
      </c>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row>
    <row r="104" spans="1:66" s="518" customFormat="1">
      <c r="B104" s="518" t="str">
        <f>IF(Worksheet!J62="","",References!$AB$100)</f>
        <v/>
      </c>
      <c r="C104" s="798">
        <f>IF(OR('Customer Information'!$C$22="Yes"),References!$AJ$100,References!$AI$100)</f>
        <v>200</v>
      </c>
      <c r="D104" s="798" t="str">
        <f t="shared" ref="D104:D105" si="13">IF(B104="","",$U$96*C104)</f>
        <v/>
      </c>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row>
    <row r="105" spans="1:66" s="518" customFormat="1">
      <c r="B105" s="518" t="str">
        <f>IF(Worksheet!D76="","",References!$AB$100)</f>
        <v/>
      </c>
      <c r="C105" s="798">
        <f>IF(OR('Customer Information'!$C$22="Yes"),References!$AJ$100,References!$AI$100)</f>
        <v>200</v>
      </c>
      <c r="D105" s="798" t="str">
        <f t="shared" si="13"/>
        <v/>
      </c>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row>
    <row r="106" spans="1:66" s="518" customFormat="1">
      <c r="C106" s="777"/>
      <c r="D106" s="777"/>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row>
    <row r="107" spans="1:66">
      <c r="B107" s="748"/>
      <c r="C107" s="748"/>
      <c r="D107" s="748"/>
      <c r="F107" s="751"/>
      <c r="G107" s="751"/>
      <c r="H107" s="751"/>
      <c r="I107" s="751"/>
      <c r="AE107" s="771"/>
      <c r="AF107" s="771"/>
      <c r="AG107" s="748"/>
      <c r="AH107" s="748" t="str">
        <f>IF(OR(Worksheet!$D$54="",RIGHT(Worksheet!$D$52,5)&lt;&gt;"Space",RIGHT(Worksheet!$D$52,8)&lt;&gt;"Basement"),"",Worksheet!$D$54)</f>
        <v/>
      </c>
      <c r="AI107" s="748"/>
      <c r="AJ107" s="756"/>
      <c r="AK107" s="751"/>
      <c r="AN107" s="756"/>
      <c r="AO107" s="756"/>
      <c r="AP107" s="756"/>
      <c r="AQ107" s="756"/>
      <c r="AR107" s="756"/>
      <c r="AW107" s="756"/>
      <c r="AX107" s="756"/>
      <c r="AY107" s="757"/>
    </row>
    <row r="108" spans="1:66">
      <c r="AG108" s="748"/>
      <c r="AH108" s="748" t="str">
        <f>IF(OR(Worksheet!$D$54="",RIGHT(Worksheet!$D$52,5)&lt;&gt;"Space",RIGHT(Worksheet!$D$52,8)&lt;&gt;"Basement"),"",Worksheet!$D$54)</f>
        <v/>
      </c>
      <c r="AI108" s="748"/>
      <c r="AJ108" s="756"/>
      <c r="AK108" s="751"/>
      <c r="AN108" s="756"/>
      <c r="AO108" s="756"/>
      <c r="AP108" s="756"/>
      <c r="AQ108" s="756"/>
      <c r="AR108" s="756"/>
      <c r="AW108" s="756"/>
      <c r="AX108" s="756"/>
      <c r="AY108" s="757"/>
    </row>
    <row r="111" spans="1:66" s="783" customFormat="1">
      <c r="A111" s="783" t="s">
        <v>785</v>
      </c>
    </row>
    <row r="112" spans="1:66" s="783" customFormat="1">
      <c r="B112" s="1462" t="s">
        <v>1175</v>
      </c>
      <c r="C112" s="1462"/>
      <c r="D112" s="1462"/>
      <c r="E112" s="1462"/>
      <c r="F112" s="1462"/>
      <c r="G112" s="1462"/>
      <c r="H112" s="1462"/>
      <c r="I112" s="1462"/>
      <c r="J112" s="1462"/>
    </row>
    <row r="113" spans="1:52" s="783" customFormat="1" ht="33.65" customHeight="1">
      <c r="B113" s="781" t="s">
        <v>145</v>
      </c>
      <c r="C113" s="781" t="s">
        <v>157</v>
      </c>
      <c r="D113" s="781" t="s">
        <v>2030</v>
      </c>
      <c r="E113"/>
      <c r="F113"/>
      <c r="G113"/>
      <c r="H113"/>
      <c r="I113"/>
      <c r="J113"/>
      <c r="K113"/>
      <c r="L113"/>
      <c r="M113"/>
      <c r="N113"/>
      <c r="O113"/>
      <c r="P113"/>
      <c r="Q113"/>
      <c r="R113"/>
      <c r="S113"/>
      <c r="T113"/>
      <c r="U113"/>
      <c r="V113"/>
      <c r="W113"/>
      <c r="X113"/>
      <c r="Y113"/>
      <c r="Z113"/>
    </row>
    <row r="114" spans="1:52" s="518" customFormat="1">
      <c r="B114" s="518" t="str">
        <f>IF(Worksheet!$D$87="","",References!$AB$101)</f>
        <v/>
      </c>
      <c r="C114" s="798">
        <f>IF(OR('Customer Information'!$C$22="Yes"),References!$AJ$101,References!$AI$101)*Worksheet!D97</f>
        <v>0</v>
      </c>
      <c r="D114" s="798">
        <f>IF(OR(C114="",C114=0),0,$U$96*C114)</f>
        <v>0</v>
      </c>
      <c r="E114"/>
      <c r="F114"/>
      <c r="G114"/>
      <c r="H114"/>
      <c r="I114"/>
      <c r="J114"/>
      <c r="K114"/>
      <c r="L114"/>
      <c r="M114"/>
      <c r="N114"/>
      <c r="O114"/>
      <c r="P114"/>
      <c r="Q114"/>
      <c r="R114"/>
      <c r="S114"/>
      <c r="T114"/>
      <c r="U114"/>
      <c r="V114"/>
      <c r="W114"/>
      <c r="X114"/>
      <c r="Y114"/>
      <c r="Z114"/>
    </row>
    <row r="115" spans="1:52" s="518" customFormat="1">
      <c r="C115" s="777"/>
      <c r="D115" s="777"/>
      <c r="E115"/>
      <c r="F115"/>
      <c r="G115"/>
      <c r="H115"/>
      <c r="I115"/>
      <c r="J115"/>
      <c r="K115"/>
      <c r="L115"/>
      <c r="M115"/>
      <c r="N115"/>
      <c r="O115"/>
      <c r="P115"/>
      <c r="Q115"/>
      <c r="R115"/>
      <c r="S115"/>
      <c r="T115"/>
      <c r="U115"/>
      <c r="V115"/>
      <c r="W115"/>
      <c r="X115"/>
      <c r="Y115"/>
      <c r="Z115"/>
    </row>
    <row r="118" spans="1:52" s="783" customFormat="1">
      <c r="A118" s="783" t="s">
        <v>783</v>
      </c>
    </row>
    <row r="119" spans="1:52" s="783" customFormat="1" ht="62.15" customHeight="1">
      <c r="B119" s="781" t="s">
        <v>145</v>
      </c>
      <c r="C119" s="781" t="s">
        <v>157</v>
      </c>
      <c r="D119" s="781" t="s">
        <v>2030</v>
      </c>
      <c r="E119" s="781" t="s">
        <v>1179</v>
      </c>
      <c r="F119"/>
      <c r="G119"/>
      <c r="H119"/>
      <c r="I119"/>
      <c r="J119"/>
      <c r="K119"/>
      <c r="L119"/>
      <c r="M119"/>
      <c r="N119"/>
      <c r="O119"/>
      <c r="P119"/>
      <c r="Q119"/>
      <c r="R119"/>
      <c r="S119"/>
      <c r="T119"/>
      <c r="U119"/>
      <c r="AC119" s="781"/>
      <c r="AD119" s="781"/>
      <c r="AE119" s="781"/>
      <c r="AF119" s="781"/>
      <c r="AG119" s="781"/>
      <c r="AI119" s="781"/>
      <c r="AJ119" s="781"/>
      <c r="AK119" s="781"/>
      <c r="AL119" s="781"/>
      <c r="AM119" s="781"/>
      <c r="AN119" s="781"/>
      <c r="AO119" s="781"/>
      <c r="AP119" s="781"/>
      <c r="AQ119" s="781"/>
      <c r="AR119" s="781"/>
      <c r="AS119" s="781"/>
      <c r="AT119" s="781"/>
      <c r="AU119" s="781"/>
      <c r="AV119" s="781"/>
      <c r="AW119" s="781"/>
      <c r="AX119" s="781"/>
      <c r="AY119" s="781"/>
      <c r="AZ119" s="781"/>
    </row>
    <row r="120" spans="1:52" s="518" customFormat="1">
      <c r="B120" s="518" t="str">
        <f>IF(Worksheet!$D$107="","",References!$AB$102)</f>
        <v/>
      </c>
      <c r="C120" s="798">
        <f>IF(OR('Customer Information'!$C$22="Yes"),References!$AJ$102,References!$AI$102)*E120</f>
        <v>0</v>
      </c>
      <c r="D120" s="798">
        <f>IF(OR(C120="",C120=0),0,$U$96*C120)</f>
        <v>0</v>
      </c>
      <c r="E120" s="518">
        <f>Worksheet!D112</f>
        <v>0</v>
      </c>
      <c r="F120"/>
      <c r="G120"/>
      <c r="H120"/>
      <c r="I120"/>
      <c r="J120"/>
      <c r="K120"/>
      <c r="L120"/>
      <c r="M120"/>
      <c r="N120"/>
      <c r="O120"/>
      <c r="P120"/>
      <c r="Q120"/>
      <c r="R120"/>
      <c r="S120"/>
      <c r="T120"/>
      <c r="U120"/>
      <c r="AC120" s="772"/>
      <c r="AF120" s="772"/>
      <c r="AG120" s="772"/>
      <c r="AI120" s="772"/>
      <c r="AJ120" s="772"/>
      <c r="AK120" s="772"/>
      <c r="AL120" s="772"/>
      <c r="AM120" s="772"/>
      <c r="AN120" s="772"/>
      <c r="AO120" s="772"/>
      <c r="AP120" s="773"/>
      <c r="AQ120" s="772"/>
      <c r="AR120" s="772"/>
      <c r="AS120" s="773"/>
      <c r="AT120" s="772"/>
      <c r="AU120" s="772"/>
      <c r="AV120" s="772"/>
      <c r="AW120" s="772"/>
      <c r="AX120" s="772"/>
      <c r="AY120" s="772"/>
      <c r="AZ120" s="772"/>
    </row>
    <row r="121" spans="1:52" s="518" customFormat="1">
      <c r="B121" s="518" t="str">
        <f>IF(Worksheet!$D$107="","",References!$AB$102)</f>
        <v/>
      </c>
      <c r="C121" s="798">
        <f>IF(OR('Customer Information'!$C$22="Yes"),References!$AJ$102,References!$AI$102)*E121</f>
        <v>0</v>
      </c>
      <c r="D121" s="798">
        <f t="shared" ref="D121:D124" si="14">IF(OR(C121="",C121=0),0,$U$96*C121)</f>
        <v>0</v>
      </c>
      <c r="E121" s="518">
        <f>Worksheet!J112</f>
        <v>0</v>
      </c>
      <c r="F121"/>
      <c r="G121"/>
      <c r="H121"/>
      <c r="I121"/>
      <c r="J121"/>
      <c r="K121"/>
      <c r="L121"/>
      <c r="M121"/>
      <c r="N121"/>
      <c r="O121"/>
      <c r="P121"/>
      <c r="Q121"/>
      <c r="R121"/>
      <c r="S121"/>
      <c r="T121"/>
      <c r="U121"/>
      <c r="AC121" s="772"/>
      <c r="AF121" s="772"/>
      <c r="AG121" s="772"/>
      <c r="AI121" s="772"/>
      <c r="AJ121" s="772"/>
      <c r="AK121" s="772"/>
      <c r="AL121" s="772"/>
      <c r="AM121" s="772"/>
      <c r="AN121" s="772"/>
      <c r="AO121" s="772"/>
      <c r="AP121" s="773"/>
      <c r="AQ121" s="772"/>
      <c r="AR121" s="772"/>
      <c r="AS121" s="773"/>
      <c r="AT121" s="772"/>
      <c r="AU121" s="772"/>
      <c r="AV121" s="772"/>
      <c r="AW121" s="778"/>
      <c r="AX121" s="772"/>
      <c r="AY121" s="772"/>
      <c r="AZ121" s="778"/>
    </row>
    <row r="122" spans="1:52" s="518" customFormat="1">
      <c r="B122" s="518" t="str">
        <f>IF(Worksheet!$D$107="","",References!$AB$102)</f>
        <v/>
      </c>
      <c r="C122" s="798">
        <f>IF(OR('Customer Information'!$C$22="Yes"),References!$AJ$102,References!$AI$102)*E122</f>
        <v>0</v>
      </c>
      <c r="D122" s="798">
        <f t="shared" si="14"/>
        <v>0</v>
      </c>
      <c r="E122" s="518">
        <f>Worksheet!D122</f>
        <v>0</v>
      </c>
      <c r="F122"/>
      <c r="G122"/>
      <c r="H122"/>
      <c r="I122"/>
      <c r="J122"/>
      <c r="K122"/>
      <c r="L122"/>
      <c r="M122"/>
      <c r="N122"/>
      <c r="O122"/>
      <c r="P122"/>
      <c r="Q122"/>
      <c r="R122"/>
      <c r="S122"/>
      <c r="T122"/>
      <c r="U122"/>
      <c r="AC122" s="772"/>
      <c r="AF122" s="772"/>
      <c r="AG122" s="772"/>
      <c r="AI122" s="772"/>
      <c r="AJ122" s="772"/>
      <c r="AK122" s="772"/>
      <c r="AL122" s="772"/>
      <c r="AM122" s="772"/>
      <c r="AN122" s="772"/>
      <c r="AO122" s="772"/>
      <c r="AP122" s="773"/>
      <c r="AQ122" s="772"/>
      <c r="AR122" s="772"/>
      <c r="AS122" s="773"/>
      <c r="AT122" s="772"/>
      <c r="AU122" s="772"/>
      <c r="AV122" s="772"/>
      <c r="AW122" s="772"/>
      <c r="AX122" s="772"/>
      <c r="AY122" s="772"/>
      <c r="AZ122" s="772"/>
    </row>
    <row r="123" spans="1:52" s="518" customFormat="1">
      <c r="B123" s="518" t="str">
        <f>IF(Worksheet!$D$107="","",References!$AB$102)</f>
        <v/>
      </c>
      <c r="C123" s="798">
        <f>IF(OR('Customer Information'!$C$22="Yes"),References!$AJ$102,References!$AI$102)*E123</f>
        <v>0</v>
      </c>
      <c r="D123" s="798">
        <f t="shared" si="14"/>
        <v>0</v>
      </c>
      <c r="E123" s="518">
        <f>Worksheet!J122</f>
        <v>0</v>
      </c>
      <c r="F123"/>
      <c r="G123"/>
      <c r="H123"/>
      <c r="I123"/>
      <c r="J123"/>
      <c r="K123"/>
      <c r="L123"/>
      <c r="M123"/>
      <c r="N123"/>
      <c r="O123"/>
      <c r="P123"/>
      <c r="Q123"/>
      <c r="R123"/>
      <c r="S123"/>
      <c r="T123"/>
      <c r="U123"/>
      <c r="AC123" s="772"/>
      <c r="AF123" s="772"/>
      <c r="AG123" s="772"/>
      <c r="AI123" s="772"/>
      <c r="AJ123" s="772"/>
      <c r="AK123" s="778"/>
      <c r="AL123" s="772"/>
      <c r="AM123" s="772"/>
      <c r="AN123" s="778"/>
      <c r="AO123" s="772"/>
      <c r="AP123" s="773"/>
      <c r="AQ123" s="778"/>
      <c r="AR123" s="772"/>
      <c r="AS123" s="773"/>
      <c r="AT123" s="778"/>
      <c r="AU123" s="772"/>
      <c r="AV123" s="772"/>
      <c r="AW123" s="772"/>
      <c r="AX123" s="772"/>
      <c r="AY123" s="772"/>
      <c r="AZ123" s="778"/>
    </row>
    <row r="124" spans="1:52" s="518" customFormat="1">
      <c r="B124" s="518" t="str">
        <f>IF(Worksheet!$D$107="","",References!$AB$102)</f>
        <v/>
      </c>
      <c r="C124" s="798">
        <f>IF(OR('Customer Information'!$C$22="Yes"),References!$AJ$102,References!$AI$102)*E124</f>
        <v>0</v>
      </c>
      <c r="D124" s="798">
        <f t="shared" si="14"/>
        <v>0</v>
      </c>
      <c r="E124" s="518">
        <f>Worksheet!D132</f>
        <v>0</v>
      </c>
      <c r="F124"/>
      <c r="G124"/>
      <c r="H124"/>
      <c r="I124"/>
      <c r="J124"/>
      <c r="K124"/>
      <c r="L124"/>
      <c r="M124"/>
      <c r="N124"/>
      <c r="O124"/>
      <c r="P124"/>
      <c r="Q124"/>
      <c r="R124"/>
      <c r="S124"/>
      <c r="T124"/>
      <c r="U124"/>
      <c r="AC124" s="772"/>
      <c r="AF124" s="772"/>
      <c r="AG124" s="772"/>
      <c r="AI124" s="772"/>
      <c r="AJ124" s="772"/>
      <c r="AK124" s="772"/>
      <c r="AL124" s="772"/>
      <c r="AM124" s="772"/>
      <c r="AN124" s="772"/>
      <c r="AO124" s="772"/>
      <c r="AP124" s="773"/>
      <c r="AQ124" s="772"/>
      <c r="AR124" s="772"/>
      <c r="AS124" s="773"/>
      <c r="AT124" s="772"/>
      <c r="AU124" s="772"/>
      <c r="AV124" s="772"/>
      <c r="AW124" s="772"/>
      <c r="AX124" s="772"/>
      <c r="AY124" s="772"/>
      <c r="AZ124" s="772"/>
    </row>
    <row r="125" spans="1:52">
      <c r="B125" s="748"/>
      <c r="C125" s="748"/>
      <c r="D125" s="748"/>
      <c r="E125" s="758"/>
      <c r="F125" s="758"/>
      <c r="G125" s="758"/>
      <c r="AC125" s="748"/>
      <c r="AF125" s="748"/>
      <c r="AG125" s="748"/>
      <c r="AI125" s="748"/>
      <c r="AK125" s="748"/>
      <c r="AL125" s="748"/>
      <c r="AM125" s="748"/>
      <c r="AN125" s="748"/>
      <c r="AO125" s="748"/>
      <c r="AP125" s="748"/>
      <c r="AQ125" s="748"/>
      <c r="AR125" s="748"/>
      <c r="AS125" s="748"/>
      <c r="AT125" s="748"/>
      <c r="AU125" s="748"/>
      <c r="AV125" s="748"/>
      <c r="AW125" s="748"/>
      <c r="AX125" s="748"/>
      <c r="AY125" s="748"/>
      <c r="AZ125" s="748"/>
    </row>
    <row r="126" spans="1:52">
      <c r="B126" s="748"/>
      <c r="C126" s="748"/>
      <c r="D126" s="748"/>
      <c r="E126" s="758"/>
      <c r="F126" s="758"/>
      <c r="G126" s="758"/>
      <c r="AC126" s="748"/>
      <c r="AF126" s="748"/>
      <c r="AG126" s="748"/>
      <c r="AI126" s="748"/>
      <c r="AK126" s="748"/>
      <c r="AL126" s="748"/>
      <c r="AM126" s="748"/>
      <c r="AN126" s="748"/>
      <c r="AO126" s="748"/>
      <c r="AP126" s="748"/>
      <c r="AQ126" s="748"/>
      <c r="AR126" s="748"/>
      <c r="AS126" s="748"/>
      <c r="AT126" s="748"/>
      <c r="AU126" s="748"/>
      <c r="AV126" s="748"/>
      <c r="AW126" s="748"/>
      <c r="AX126" s="748"/>
      <c r="AY126" s="748"/>
      <c r="AZ126" s="748"/>
    </row>
    <row r="127" spans="1:52">
      <c r="B127" s="748"/>
      <c r="C127" s="748"/>
      <c r="D127" s="748"/>
      <c r="E127" s="758"/>
      <c r="F127" s="758"/>
      <c r="G127" s="758"/>
      <c r="AC127" s="748"/>
      <c r="AF127" s="748"/>
      <c r="AG127" s="748"/>
      <c r="AI127" s="748"/>
      <c r="AK127" s="748"/>
      <c r="AL127" s="748"/>
      <c r="AM127" s="748"/>
      <c r="AN127" s="748"/>
      <c r="AO127" s="748"/>
      <c r="AP127" s="748"/>
      <c r="AQ127" s="748"/>
      <c r="AR127" s="748"/>
      <c r="AS127" s="748"/>
      <c r="AT127" s="748"/>
      <c r="AU127" s="748"/>
      <c r="AV127" s="748"/>
      <c r="AW127" s="748"/>
      <c r="AX127" s="748"/>
      <c r="AY127" s="748"/>
      <c r="AZ127" s="748"/>
    </row>
    <row r="128" spans="1:52">
      <c r="B128" s="748"/>
      <c r="C128" s="748"/>
      <c r="D128" s="748"/>
      <c r="E128" s="758"/>
      <c r="F128" s="758"/>
      <c r="G128" s="758"/>
      <c r="AC128" s="748"/>
      <c r="AF128" s="748"/>
      <c r="AG128" s="748"/>
      <c r="AI128" s="748"/>
      <c r="AK128" s="748"/>
      <c r="AL128" s="748"/>
      <c r="AM128" s="748"/>
      <c r="AN128" s="748"/>
      <c r="AO128" s="748"/>
      <c r="AP128" s="748"/>
      <c r="AQ128" s="748"/>
      <c r="AR128" s="748"/>
      <c r="AS128" s="748"/>
      <c r="AT128" s="748"/>
      <c r="AU128" s="748"/>
      <c r="AV128" s="748"/>
      <c r="AW128" s="748"/>
      <c r="AX128" s="748"/>
      <c r="AY128" s="748"/>
      <c r="AZ128" s="748"/>
    </row>
    <row r="129" spans="1:52">
      <c r="B129" s="748"/>
      <c r="C129" s="748"/>
      <c r="D129" s="748"/>
      <c r="E129" s="758"/>
      <c r="F129" s="758"/>
      <c r="G129" s="758"/>
      <c r="AC129" s="748"/>
      <c r="AF129" s="748"/>
      <c r="AG129" s="748"/>
      <c r="AI129" s="748"/>
      <c r="AK129" s="748"/>
      <c r="AL129" s="748"/>
      <c r="AM129" s="748"/>
      <c r="AN129" s="748"/>
      <c r="AO129" s="748"/>
      <c r="AP129" s="748"/>
      <c r="AQ129" s="748"/>
      <c r="AR129" s="748"/>
      <c r="AS129" s="748"/>
      <c r="AT129" s="748"/>
      <c r="AU129" s="748"/>
      <c r="AV129" s="748"/>
      <c r="AW129" s="748"/>
      <c r="AX129" s="748"/>
      <c r="AY129" s="748"/>
      <c r="AZ129" s="748"/>
    </row>
    <row r="132" spans="1:52" s="783" customFormat="1">
      <c r="A132" s="796" t="s">
        <v>1759</v>
      </c>
    </row>
    <row r="133" spans="1:52" s="783" customFormat="1">
      <c r="B133" s="1462" t="s">
        <v>1760</v>
      </c>
      <c r="C133" s="1462"/>
      <c r="D133" s="1462"/>
      <c r="E133" s="1462"/>
      <c r="F133" s="1462"/>
      <c r="G133" s="1462"/>
      <c r="H133" s="1462"/>
      <c r="I133" s="1462"/>
      <c r="J133" s="1462"/>
      <c r="K133" s="1462"/>
      <c r="L133" s="1462"/>
      <c r="M133" s="1462"/>
      <c r="N133" s="1462"/>
      <c r="O133" s="1462"/>
      <c r="P133" s="1462"/>
      <c r="Q133" s="1462"/>
      <c r="R133" s="1462"/>
      <c r="T133" s="1462"/>
      <c r="U133" s="1462"/>
      <c r="V133" s="1462"/>
      <c r="W133" s="1462"/>
      <c r="X133" s="1462"/>
      <c r="Y133" s="1462"/>
      <c r="Z133" s="1462"/>
      <c r="AA133" s="1462"/>
    </row>
    <row r="134" spans="1:52" s="783" customFormat="1">
      <c r="B134" s="781" t="s">
        <v>145</v>
      </c>
      <c r="C134" s="781" t="s">
        <v>157</v>
      </c>
      <c r="D134" s="781" t="s">
        <v>2030</v>
      </c>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row>
    <row r="135" spans="1:52" s="518" customFormat="1">
      <c r="B135" s="518" t="str">
        <f>IF(Worksheet!D154="","",References!$AB$103)</f>
        <v/>
      </c>
      <c r="C135" s="788">
        <f>IF(OR('Customer Information'!$C$22="Yes"),References!$AJ$103,References!$AI$103)</f>
        <v>500</v>
      </c>
      <c r="D135" s="788">
        <f>IF(OR(B135="",C135=0),0,$U$96*C135)</f>
        <v>0</v>
      </c>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row>
    <row r="136" spans="1:52" s="518" customFormat="1">
      <c r="C136" s="777"/>
      <c r="D136" s="777"/>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row>
    <row r="137" spans="1:52" s="518" customFormat="1">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row>
    <row r="139" spans="1:52" s="783" customFormat="1">
      <c r="A139" s="783" t="s">
        <v>1575</v>
      </c>
    </row>
    <row r="140" spans="1:52" s="783" customFormat="1">
      <c r="B140" s="1462" t="s">
        <v>1761</v>
      </c>
      <c r="C140" s="1462"/>
      <c r="D140" s="1462"/>
      <c r="E140" s="1462"/>
      <c r="F140" s="1462"/>
      <c r="G140" s="1462"/>
      <c r="H140" s="1462"/>
      <c r="I140" s="1462"/>
      <c r="J140" s="1462"/>
      <c r="K140" s="1462"/>
      <c r="L140" s="1462"/>
      <c r="M140" s="1462"/>
    </row>
    <row r="141" spans="1:52" s="783" customFormat="1">
      <c r="B141" s="781" t="s">
        <v>145</v>
      </c>
      <c r="C141" s="781" t="s">
        <v>1880</v>
      </c>
      <c r="D141" s="781" t="s">
        <v>2030</v>
      </c>
      <c r="E141" s="781" t="s">
        <v>1765</v>
      </c>
      <c r="F141"/>
      <c r="G141"/>
      <c r="H141"/>
      <c r="I141"/>
      <c r="J141"/>
      <c r="K141"/>
      <c r="L141"/>
      <c r="M141"/>
      <c r="N141"/>
      <c r="O141"/>
      <c r="P141"/>
      <c r="Q141"/>
      <c r="R141"/>
      <c r="S141"/>
      <c r="T141"/>
      <c r="U141"/>
      <c r="V141"/>
      <c r="W141"/>
      <c r="X141"/>
    </row>
    <row r="142" spans="1:52" s="518" customFormat="1">
      <c r="B142" s="518" t="str">
        <f>IF(Worksheet!D174="","",References!$AB$104)</f>
        <v/>
      </c>
      <c r="C142" s="798">
        <f>IF(OR('Customer Information'!$C$22="Yes"),References!$AJ$104,References!$AI$104)*E142</f>
        <v>0</v>
      </c>
      <c r="D142" s="798">
        <f>IF(OR(B142="",C142=0),0,$U$96*C142)</f>
        <v>0</v>
      </c>
      <c r="E142" s="518">
        <f>Worksheet!$D$170</f>
        <v>0</v>
      </c>
      <c r="F142"/>
      <c r="G142"/>
      <c r="H142"/>
      <c r="I142"/>
      <c r="J142"/>
      <c r="K142"/>
      <c r="L142"/>
      <c r="M142"/>
      <c r="N142"/>
      <c r="O142"/>
      <c r="P142"/>
      <c r="Q142"/>
      <c r="R142"/>
      <c r="S142"/>
      <c r="T142"/>
      <c r="U142"/>
      <c r="V142"/>
      <c r="W142"/>
      <c r="X142"/>
    </row>
    <row r="143" spans="1:52" s="518" customFormat="1">
      <c r="C143" s="777"/>
      <c r="D143" s="777"/>
      <c r="F143"/>
      <c r="G143"/>
      <c r="H143"/>
      <c r="I143"/>
      <c r="J143"/>
      <c r="K143"/>
      <c r="L143"/>
      <c r="M143"/>
      <c r="N143"/>
      <c r="O143"/>
      <c r="P143"/>
      <c r="Q143"/>
      <c r="R143"/>
      <c r="S143"/>
      <c r="T143"/>
      <c r="U143"/>
      <c r="V143"/>
      <c r="W143"/>
      <c r="X143"/>
    </row>
    <row r="144" spans="1:52" s="518" customFormat="1">
      <c r="F144"/>
      <c r="G144"/>
      <c r="H144"/>
      <c r="I144"/>
      <c r="J144"/>
      <c r="K144"/>
      <c r="L144"/>
      <c r="M144"/>
      <c r="N144"/>
      <c r="O144"/>
      <c r="P144"/>
      <c r="Q144"/>
      <c r="R144"/>
      <c r="S144"/>
      <c r="T144"/>
      <c r="U144"/>
      <c r="V144"/>
      <c r="W144"/>
      <c r="X144"/>
    </row>
  </sheetData>
  <mergeCells count="84">
    <mergeCell ref="BB25:BB26"/>
    <mergeCell ref="AY70:AY71"/>
    <mergeCell ref="AZ70:AZ71"/>
    <mergeCell ref="AF26:AG26"/>
    <mergeCell ref="AF25:AG25"/>
    <mergeCell ref="AI26:AJ26"/>
    <mergeCell ref="AQ25:AS25"/>
    <mergeCell ref="AM25:AO25"/>
    <mergeCell ref="AK26:AL26"/>
    <mergeCell ref="AI25:AL25"/>
    <mergeCell ref="AZ60:AZ61"/>
    <mergeCell ref="AW60:AW61"/>
    <mergeCell ref="AX60:AX61"/>
    <mergeCell ref="B140:M140"/>
    <mergeCell ref="AB76:AB77"/>
    <mergeCell ref="AC25:AE25"/>
    <mergeCell ref="Q25:S25"/>
    <mergeCell ref="T25:U25"/>
    <mergeCell ref="V46:X46"/>
    <mergeCell ref="S47:U47"/>
    <mergeCell ref="V47:X47"/>
    <mergeCell ref="V25:W25"/>
    <mergeCell ref="X25:Z25"/>
    <mergeCell ref="M25:M26"/>
    <mergeCell ref="S42:U42"/>
    <mergeCell ref="E42:F42"/>
    <mergeCell ref="E25:G25"/>
    <mergeCell ref="I25:I26"/>
    <mergeCell ref="N25:P25"/>
    <mergeCell ref="BE25:BR25"/>
    <mergeCell ref="AT25:AW25"/>
    <mergeCell ref="BD60:BD61"/>
    <mergeCell ref="BA70:BA71"/>
    <mergeCell ref="AU60:AU61"/>
    <mergeCell ref="AU70:AU71"/>
    <mergeCell ref="AV70:AV71"/>
    <mergeCell ref="AX70:AX71"/>
    <mergeCell ref="AW70:AW71"/>
    <mergeCell ref="AV60:AV61"/>
    <mergeCell ref="BB60:BB61"/>
    <mergeCell ref="BC60:BC61"/>
    <mergeCell ref="BA60:BA61"/>
    <mergeCell ref="AY25:AY26"/>
    <mergeCell ref="AZ25:AZ26"/>
    <mergeCell ref="AY60:AY61"/>
    <mergeCell ref="BC25:BC26"/>
    <mergeCell ref="E47:F47"/>
    <mergeCell ref="E48:F48"/>
    <mergeCell ref="E49:F49"/>
    <mergeCell ref="E50:F50"/>
    <mergeCell ref="V44:X44"/>
    <mergeCell ref="S45:U45"/>
    <mergeCell ref="V45:X45"/>
    <mergeCell ref="S46:U46"/>
    <mergeCell ref="S43:U43"/>
    <mergeCell ref="V43:X43"/>
    <mergeCell ref="S44:U44"/>
    <mergeCell ref="E45:F45"/>
    <mergeCell ref="E46:F46"/>
    <mergeCell ref="E43:F43"/>
    <mergeCell ref="E44:F44"/>
    <mergeCell ref="E51:F51"/>
    <mergeCell ref="B91:R91"/>
    <mergeCell ref="S51:U51"/>
    <mergeCell ref="C70:Y70"/>
    <mergeCell ref="C76:Y76"/>
    <mergeCell ref="V42:X42"/>
    <mergeCell ref="V51:X51"/>
    <mergeCell ref="V48:X48"/>
    <mergeCell ref="S49:U49"/>
    <mergeCell ref="V49:X49"/>
    <mergeCell ref="S50:U50"/>
    <mergeCell ref="V50:X50"/>
    <mergeCell ref="S48:U48"/>
    <mergeCell ref="T133:AA133"/>
    <mergeCell ref="B133:R133"/>
    <mergeCell ref="E56:F56"/>
    <mergeCell ref="C60:Y60"/>
    <mergeCell ref="E57:F57"/>
    <mergeCell ref="AA70:AA71"/>
    <mergeCell ref="AA60:AA61"/>
    <mergeCell ref="AA76:AA77"/>
    <mergeCell ref="B101:P101"/>
    <mergeCell ref="B112:J112"/>
  </mergeCells>
  <phoneticPr fontId="137" type="noConversion"/>
  <pageMargins left="0.7" right="0.7" top="0.75" bottom="0.75" header="0.3" footer="0.3"/>
  <pageSetup orientation="portrait" r:id="rId1"/>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2">
    <tabColor rgb="FFFF0000"/>
  </sheetPr>
  <dimension ref="A2:D611"/>
  <sheetViews>
    <sheetView zoomScale="90" zoomScaleNormal="90" workbookViewId="0">
      <pane xSplit="1" ySplit="7" topLeftCell="B591" activePane="bottomRight" state="frozen"/>
      <selection pane="topRight" activeCell="B1" sqref="B1"/>
      <selection pane="bottomLeft" activeCell="A7" sqref="A7"/>
      <selection pane="bottomRight" activeCell="A3" sqref="A3"/>
    </sheetView>
  </sheetViews>
  <sheetFormatPr defaultRowHeight="14.5"/>
  <cols>
    <col min="1" max="1" width="16" bestFit="1" customWidth="1"/>
    <col min="2" max="2" width="170.26953125" bestFit="1" customWidth="1"/>
    <col min="3" max="3" width="7.1796875" bestFit="1" customWidth="1"/>
    <col min="4" max="4" width="13.453125" bestFit="1" customWidth="1"/>
    <col min="5" max="5" width="32.453125" bestFit="1" customWidth="1"/>
  </cols>
  <sheetData>
    <row r="2" spans="1:4">
      <c r="A2" s="25" t="s">
        <v>2653</v>
      </c>
      <c r="B2" t="s">
        <v>137</v>
      </c>
    </row>
    <row r="3" spans="1:4">
      <c r="A3">
        <v>2025</v>
      </c>
      <c r="B3" t="s">
        <v>141</v>
      </c>
    </row>
    <row r="4" spans="1:4">
      <c r="A4" t="s">
        <v>2629</v>
      </c>
      <c r="B4" t="s">
        <v>166</v>
      </c>
    </row>
    <row r="5" spans="1:4">
      <c r="A5" t="s">
        <v>1598</v>
      </c>
      <c r="B5" t="s">
        <v>1597</v>
      </c>
    </row>
    <row r="7" spans="1:4">
      <c r="A7" s="84" t="s">
        <v>170</v>
      </c>
      <c r="B7" s="84" t="s">
        <v>171</v>
      </c>
      <c r="C7" s="84" t="s">
        <v>172</v>
      </c>
      <c r="D7" s="84" t="s">
        <v>173</v>
      </c>
    </row>
    <row r="8" spans="1:4">
      <c r="A8" t="s">
        <v>367</v>
      </c>
      <c r="B8" t="s">
        <v>390</v>
      </c>
      <c r="C8" t="s">
        <v>365</v>
      </c>
      <c r="D8" s="25" t="s">
        <v>366</v>
      </c>
    </row>
    <row r="9" spans="1:4">
      <c r="A9" t="s">
        <v>367</v>
      </c>
      <c r="B9" t="s">
        <v>391</v>
      </c>
      <c r="C9" t="s">
        <v>365</v>
      </c>
      <c r="D9" t="s">
        <v>366</v>
      </c>
    </row>
    <row r="10" spans="1:4">
      <c r="A10" t="s">
        <v>392</v>
      </c>
      <c r="B10" t="s">
        <v>394</v>
      </c>
      <c r="C10" t="s">
        <v>393</v>
      </c>
      <c r="D10" s="25" t="s">
        <v>400</v>
      </c>
    </row>
    <row r="11" spans="1:4">
      <c r="A11" t="s">
        <v>392</v>
      </c>
      <c r="B11" t="s">
        <v>395</v>
      </c>
      <c r="C11" t="s">
        <v>393</v>
      </c>
      <c r="D11" t="s">
        <v>400</v>
      </c>
    </row>
    <row r="12" spans="1:4">
      <c r="A12" t="s">
        <v>392</v>
      </c>
      <c r="B12" t="s">
        <v>399</v>
      </c>
      <c r="C12" t="s">
        <v>393</v>
      </c>
      <c r="D12" s="25" t="s">
        <v>400</v>
      </c>
    </row>
    <row r="13" spans="1:4">
      <c r="A13" t="s">
        <v>392</v>
      </c>
      <c r="B13" t="s">
        <v>396</v>
      </c>
      <c r="C13" t="s">
        <v>393</v>
      </c>
      <c r="D13" t="s">
        <v>400</v>
      </c>
    </row>
    <row r="14" spans="1:4">
      <c r="A14" t="s">
        <v>392</v>
      </c>
      <c r="B14" t="s">
        <v>397</v>
      </c>
      <c r="C14" t="s">
        <v>393</v>
      </c>
      <c r="D14" s="25" t="s">
        <v>400</v>
      </c>
    </row>
    <row r="15" spans="1:4">
      <c r="A15" t="s">
        <v>392</v>
      </c>
      <c r="B15" t="s">
        <v>398</v>
      </c>
      <c r="C15" t="s">
        <v>393</v>
      </c>
      <c r="D15" t="s">
        <v>400</v>
      </c>
    </row>
    <row r="16" spans="1:4">
      <c r="A16" t="s">
        <v>392</v>
      </c>
      <c r="B16" t="s">
        <v>402</v>
      </c>
      <c r="C16" t="s">
        <v>393</v>
      </c>
      <c r="D16" s="25" t="s">
        <v>400</v>
      </c>
    </row>
    <row r="17" spans="1:4">
      <c r="A17" t="s">
        <v>392</v>
      </c>
      <c r="B17" t="s">
        <v>403</v>
      </c>
      <c r="C17" t="s">
        <v>393</v>
      </c>
      <c r="D17" t="s">
        <v>400</v>
      </c>
    </row>
    <row r="18" spans="1:4">
      <c r="A18" t="s">
        <v>392</v>
      </c>
      <c r="B18" t="s">
        <v>404</v>
      </c>
      <c r="C18" t="s">
        <v>393</v>
      </c>
      <c r="D18" s="25" t="s">
        <v>400</v>
      </c>
    </row>
    <row r="19" spans="1:4">
      <c r="A19" t="s">
        <v>392</v>
      </c>
      <c r="B19" t="s">
        <v>405</v>
      </c>
      <c r="C19" t="s">
        <v>393</v>
      </c>
      <c r="D19" t="s">
        <v>400</v>
      </c>
    </row>
    <row r="20" spans="1:4">
      <c r="A20" t="s">
        <v>392</v>
      </c>
      <c r="B20" t="s">
        <v>406</v>
      </c>
      <c r="C20" t="s">
        <v>393</v>
      </c>
      <c r="D20" s="25" t="s">
        <v>400</v>
      </c>
    </row>
    <row r="21" spans="1:4">
      <c r="A21" t="s">
        <v>392</v>
      </c>
      <c r="B21" t="s">
        <v>407</v>
      </c>
      <c r="C21" t="s">
        <v>393</v>
      </c>
      <c r="D21" t="s">
        <v>400</v>
      </c>
    </row>
    <row r="22" spans="1:4">
      <c r="A22" t="s">
        <v>409</v>
      </c>
      <c r="B22" t="s">
        <v>410</v>
      </c>
      <c r="C22" t="s">
        <v>393</v>
      </c>
      <c r="D22" s="25" t="s">
        <v>411</v>
      </c>
    </row>
    <row r="23" spans="1:4">
      <c r="A23" t="s">
        <v>409</v>
      </c>
      <c r="B23" t="s">
        <v>412</v>
      </c>
      <c r="C23" t="s">
        <v>393</v>
      </c>
      <c r="D23" t="s">
        <v>411</v>
      </c>
    </row>
    <row r="24" spans="1:4">
      <c r="A24" t="s">
        <v>409</v>
      </c>
      <c r="B24" t="s">
        <v>413</v>
      </c>
      <c r="C24" t="s">
        <v>393</v>
      </c>
      <c r="D24" s="25" t="s">
        <v>411</v>
      </c>
    </row>
    <row r="25" spans="1:4">
      <c r="A25" t="s">
        <v>417</v>
      </c>
      <c r="B25" t="s">
        <v>418</v>
      </c>
      <c r="C25" t="s">
        <v>393</v>
      </c>
      <c r="D25" t="s">
        <v>421</v>
      </c>
    </row>
    <row r="26" spans="1:4">
      <c r="A26" t="s">
        <v>417</v>
      </c>
      <c r="B26" t="s">
        <v>419</v>
      </c>
      <c r="C26" t="s">
        <v>393</v>
      </c>
      <c r="D26" t="s">
        <v>421</v>
      </c>
    </row>
    <row r="27" spans="1:4">
      <c r="A27" t="s">
        <v>417</v>
      </c>
      <c r="B27" t="s">
        <v>422</v>
      </c>
      <c r="C27" t="s">
        <v>393</v>
      </c>
      <c r="D27" t="s">
        <v>421</v>
      </c>
    </row>
    <row r="28" spans="1:4">
      <c r="A28" t="s">
        <v>417</v>
      </c>
      <c r="B28" t="s">
        <v>423</v>
      </c>
      <c r="C28" t="s">
        <v>393</v>
      </c>
      <c r="D28" t="s">
        <v>421</v>
      </c>
    </row>
    <row r="29" spans="1:4">
      <c r="A29" t="s">
        <v>417</v>
      </c>
      <c r="B29" t="s">
        <v>424</v>
      </c>
      <c r="C29" t="s">
        <v>393</v>
      </c>
      <c r="D29" t="s">
        <v>421</v>
      </c>
    </row>
    <row r="30" spans="1:4">
      <c r="A30" t="s">
        <v>420</v>
      </c>
      <c r="B30" t="s">
        <v>425</v>
      </c>
      <c r="C30" t="s">
        <v>393</v>
      </c>
      <c r="D30" t="s">
        <v>421</v>
      </c>
    </row>
    <row r="31" spans="1:4">
      <c r="A31" t="s">
        <v>420</v>
      </c>
      <c r="B31" t="s">
        <v>426</v>
      </c>
      <c r="C31" t="s">
        <v>393</v>
      </c>
      <c r="D31" t="s">
        <v>421</v>
      </c>
    </row>
    <row r="32" spans="1:4">
      <c r="A32" t="s">
        <v>427</v>
      </c>
      <c r="B32" t="s">
        <v>428</v>
      </c>
      <c r="C32" t="s">
        <v>393</v>
      </c>
      <c r="D32" t="s">
        <v>421</v>
      </c>
    </row>
    <row r="33" spans="1:4">
      <c r="A33" t="s">
        <v>427</v>
      </c>
      <c r="B33" t="s">
        <v>467</v>
      </c>
      <c r="C33" t="s">
        <v>393</v>
      </c>
      <c r="D33" t="s">
        <v>421</v>
      </c>
    </row>
    <row r="34" spans="1:4">
      <c r="A34" t="s">
        <v>427</v>
      </c>
      <c r="B34" t="s">
        <v>469</v>
      </c>
      <c r="C34" t="s">
        <v>393</v>
      </c>
      <c r="D34" t="s">
        <v>421</v>
      </c>
    </row>
    <row r="35" spans="1:4">
      <c r="A35" t="s">
        <v>427</v>
      </c>
      <c r="B35" t="s">
        <v>468</v>
      </c>
      <c r="C35" t="s">
        <v>393</v>
      </c>
      <c r="D35" t="s">
        <v>421</v>
      </c>
    </row>
    <row r="36" spans="1:4">
      <c r="A36" t="s">
        <v>485</v>
      </c>
      <c r="B36" t="s">
        <v>486</v>
      </c>
      <c r="C36" t="s">
        <v>393</v>
      </c>
      <c r="D36" t="s">
        <v>487</v>
      </c>
    </row>
    <row r="37" spans="1:4">
      <c r="A37" t="s">
        <v>485</v>
      </c>
      <c r="B37" t="s">
        <v>488</v>
      </c>
      <c r="C37" t="s">
        <v>393</v>
      </c>
      <c r="D37" t="s">
        <v>487</v>
      </c>
    </row>
    <row r="38" spans="1:4">
      <c r="A38" t="s">
        <v>485</v>
      </c>
      <c r="B38" t="s">
        <v>489</v>
      </c>
      <c r="C38" t="s">
        <v>393</v>
      </c>
      <c r="D38" t="s">
        <v>487</v>
      </c>
    </row>
    <row r="39" spans="1:4">
      <c r="A39" t="s">
        <v>485</v>
      </c>
      <c r="B39" t="s">
        <v>536</v>
      </c>
      <c r="C39" t="s">
        <v>393</v>
      </c>
      <c r="D39" t="s">
        <v>487</v>
      </c>
    </row>
    <row r="40" spans="1:4">
      <c r="A40" t="s">
        <v>537</v>
      </c>
      <c r="B40" t="s">
        <v>538</v>
      </c>
      <c r="C40" t="s">
        <v>393</v>
      </c>
      <c r="D40" t="s">
        <v>487</v>
      </c>
    </row>
    <row r="41" spans="1:4">
      <c r="A41" t="s">
        <v>537</v>
      </c>
      <c r="B41" t="s">
        <v>539</v>
      </c>
      <c r="C41" t="s">
        <v>393</v>
      </c>
      <c r="D41" t="s">
        <v>487</v>
      </c>
    </row>
    <row r="42" spans="1:4">
      <c r="A42" t="s">
        <v>537</v>
      </c>
      <c r="B42" t="s">
        <v>540</v>
      </c>
      <c r="C42" t="s">
        <v>393</v>
      </c>
      <c r="D42" t="s">
        <v>487</v>
      </c>
    </row>
    <row r="43" spans="1:4">
      <c r="A43" t="s">
        <v>548</v>
      </c>
      <c r="B43" t="s">
        <v>541</v>
      </c>
      <c r="C43" t="s">
        <v>365</v>
      </c>
      <c r="D43" t="s">
        <v>547</v>
      </c>
    </row>
    <row r="44" spans="1:4">
      <c r="A44" t="s">
        <v>548</v>
      </c>
      <c r="B44" t="s">
        <v>542</v>
      </c>
      <c r="C44" t="s">
        <v>365</v>
      </c>
      <c r="D44" t="s">
        <v>547</v>
      </c>
    </row>
    <row r="45" spans="1:4">
      <c r="A45" t="s">
        <v>548</v>
      </c>
      <c r="B45" t="s">
        <v>543</v>
      </c>
      <c r="C45" t="s">
        <v>365</v>
      </c>
      <c r="D45" t="s">
        <v>547</v>
      </c>
    </row>
    <row r="46" spans="1:4">
      <c r="A46" t="s">
        <v>548</v>
      </c>
      <c r="B46" t="s">
        <v>544</v>
      </c>
      <c r="C46" t="s">
        <v>365</v>
      </c>
      <c r="D46" t="s">
        <v>547</v>
      </c>
    </row>
    <row r="47" spans="1:4">
      <c r="A47" t="s">
        <v>548</v>
      </c>
      <c r="B47" t="s">
        <v>545</v>
      </c>
      <c r="C47" t="s">
        <v>365</v>
      </c>
      <c r="D47" t="s">
        <v>547</v>
      </c>
    </row>
    <row r="48" spans="1:4">
      <c r="A48" t="s">
        <v>548</v>
      </c>
      <c r="B48" t="s">
        <v>546</v>
      </c>
      <c r="C48" t="s">
        <v>365</v>
      </c>
      <c r="D48" t="s">
        <v>547</v>
      </c>
    </row>
    <row r="49" spans="1:4">
      <c r="A49" t="s">
        <v>550</v>
      </c>
      <c r="B49" t="s">
        <v>549</v>
      </c>
      <c r="C49" t="s">
        <v>365</v>
      </c>
      <c r="D49" t="s">
        <v>547</v>
      </c>
    </row>
    <row r="50" spans="1:4">
      <c r="A50" t="s">
        <v>550</v>
      </c>
      <c r="B50" t="s">
        <v>551</v>
      </c>
      <c r="C50" t="s">
        <v>393</v>
      </c>
      <c r="D50" t="s">
        <v>547</v>
      </c>
    </row>
    <row r="51" spans="1:4">
      <c r="A51" t="s">
        <v>550</v>
      </c>
      <c r="B51" t="s">
        <v>552</v>
      </c>
      <c r="C51" t="s">
        <v>393</v>
      </c>
      <c r="D51" t="s">
        <v>547</v>
      </c>
    </row>
    <row r="52" spans="1:4">
      <c r="A52" t="s">
        <v>550</v>
      </c>
      <c r="B52" t="s">
        <v>553</v>
      </c>
      <c r="C52" t="s">
        <v>393</v>
      </c>
      <c r="D52" t="s">
        <v>547</v>
      </c>
    </row>
    <row r="53" spans="1:4">
      <c r="A53" t="s">
        <v>550</v>
      </c>
      <c r="B53" t="s">
        <v>554</v>
      </c>
      <c r="C53" t="s">
        <v>393</v>
      </c>
      <c r="D53" t="s">
        <v>547</v>
      </c>
    </row>
    <row r="54" spans="1:4">
      <c r="A54" t="s">
        <v>550</v>
      </c>
      <c r="B54" t="s">
        <v>555</v>
      </c>
      <c r="C54" t="s">
        <v>393</v>
      </c>
      <c r="D54" t="s">
        <v>547</v>
      </c>
    </row>
    <row r="55" spans="1:4">
      <c r="A55" t="s">
        <v>550</v>
      </c>
      <c r="B55" t="s">
        <v>556</v>
      </c>
      <c r="C55" t="s">
        <v>393</v>
      </c>
      <c r="D55" t="s">
        <v>547</v>
      </c>
    </row>
    <row r="56" spans="1:4">
      <c r="A56" t="s">
        <v>550</v>
      </c>
      <c r="B56" t="s">
        <v>557</v>
      </c>
      <c r="C56" t="s">
        <v>393</v>
      </c>
      <c r="D56" t="s">
        <v>547</v>
      </c>
    </row>
    <row r="57" spans="1:4">
      <c r="A57" t="s">
        <v>579</v>
      </c>
      <c r="B57" t="s">
        <v>577</v>
      </c>
      <c r="C57" t="s">
        <v>393</v>
      </c>
      <c r="D57" t="s">
        <v>578</v>
      </c>
    </row>
    <row r="58" spans="1:4">
      <c r="A58" t="s">
        <v>579</v>
      </c>
      <c r="B58" t="s">
        <v>580</v>
      </c>
      <c r="C58" t="s">
        <v>393</v>
      </c>
      <c r="D58" t="s">
        <v>578</v>
      </c>
    </row>
    <row r="59" spans="1:4">
      <c r="A59" t="s">
        <v>579</v>
      </c>
      <c r="B59" t="s">
        <v>581</v>
      </c>
      <c r="C59" t="s">
        <v>393</v>
      </c>
      <c r="D59" t="s">
        <v>578</v>
      </c>
    </row>
    <row r="60" spans="1:4">
      <c r="A60" t="s">
        <v>579</v>
      </c>
      <c r="B60" t="s">
        <v>582</v>
      </c>
      <c r="C60" t="s">
        <v>393</v>
      </c>
      <c r="D60" t="s">
        <v>578</v>
      </c>
    </row>
    <row r="61" spans="1:4">
      <c r="A61" t="s">
        <v>579</v>
      </c>
      <c r="B61" t="s">
        <v>583</v>
      </c>
      <c r="C61" t="s">
        <v>393</v>
      </c>
      <c r="D61" t="s">
        <v>578</v>
      </c>
    </row>
    <row r="62" spans="1:4">
      <c r="A62" t="s">
        <v>579</v>
      </c>
      <c r="B62" t="s">
        <v>584</v>
      </c>
      <c r="C62" t="s">
        <v>393</v>
      </c>
      <c r="D62" t="s">
        <v>578</v>
      </c>
    </row>
    <row r="63" spans="1:4">
      <c r="A63" t="s">
        <v>579</v>
      </c>
      <c r="B63" t="s">
        <v>585</v>
      </c>
      <c r="C63" t="s">
        <v>393</v>
      </c>
      <c r="D63" t="s">
        <v>578</v>
      </c>
    </row>
    <row r="64" spans="1:4">
      <c r="A64" t="s">
        <v>579</v>
      </c>
      <c r="B64" t="s">
        <v>586</v>
      </c>
      <c r="C64" t="s">
        <v>393</v>
      </c>
      <c r="D64" t="s">
        <v>578</v>
      </c>
    </row>
    <row r="65" spans="1:4">
      <c r="A65" t="s">
        <v>579</v>
      </c>
      <c r="B65" t="s">
        <v>587</v>
      </c>
      <c r="C65" t="s">
        <v>393</v>
      </c>
      <c r="D65" t="s">
        <v>578</v>
      </c>
    </row>
    <row r="66" spans="1:4">
      <c r="A66" t="s">
        <v>579</v>
      </c>
      <c r="B66" t="s">
        <v>588</v>
      </c>
      <c r="C66" t="s">
        <v>393</v>
      </c>
      <c r="D66" t="s">
        <v>578</v>
      </c>
    </row>
    <row r="67" spans="1:4">
      <c r="A67" t="s">
        <v>579</v>
      </c>
      <c r="B67" t="s">
        <v>589</v>
      </c>
      <c r="C67" t="s">
        <v>393</v>
      </c>
      <c r="D67" t="s">
        <v>578</v>
      </c>
    </row>
    <row r="68" spans="1:4">
      <c r="A68" t="s">
        <v>579</v>
      </c>
      <c r="B68" t="s">
        <v>590</v>
      </c>
      <c r="C68" t="s">
        <v>393</v>
      </c>
      <c r="D68" t="s">
        <v>578</v>
      </c>
    </row>
    <row r="69" spans="1:4">
      <c r="A69" t="s">
        <v>579</v>
      </c>
      <c r="B69" t="s">
        <v>591</v>
      </c>
      <c r="C69" t="s">
        <v>393</v>
      </c>
      <c r="D69" t="s">
        <v>578</v>
      </c>
    </row>
    <row r="70" spans="1:4">
      <c r="A70" t="s">
        <v>579</v>
      </c>
      <c r="B70" t="s">
        <v>592</v>
      </c>
      <c r="C70" t="s">
        <v>393</v>
      </c>
      <c r="D70" t="s">
        <v>578</v>
      </c>
    </row>
    <row r="71" spans="1:4">
      <c r="A71" t="s">
        <v>579</v>
      </c>
      <c r="B71" t="s">
        <v>593</v>
      </c>
      <c r="C71" t="s">
        <v>393</v>
      </c>
      <c r="D71" t="s">
        <v>578</v>
      </c>
    </row>
    <row r="72" spans="1:4">
      <c r="A72" t="s">
        <v>579</v>
      </c>
      <c r="B72" t="s">
        <v>596</v>
      </c>
      <c r="C72" t="s">
        <v>365</v>
      </c>
      <c r="D72" t="s">
        <v>578</v>
      </c>
    </row>
    <row r="73" spans="1:4">
      <c r="A73" t="s">
        <v>579</v>
      </c>
      <c r="B73" t="s">
        <v>597</v>
      </c>
      <c r="C73" t="s">
        <v>365</v>
      </c>
      <c r="D73" t="s">
        <v>578</v>
      </c>
    </row>
    <row r="74" spans="1:4">
      <c r="A74" t="s">
        <v>598</v>
      </c>
      <c r="B74" t="s">
        <v>599</v>
      </c>
      <c r="C74" t="s">
        <v>393</v>
      </c>
      <c r="D74" t="s">
        <v>600</v>
      </c>
    </row>
    <row r="75" spans="1:4">
      <c r="A75" t="s">
        <v>598</v>
      </c>
      <c r="B75" t="s">
        <v>601</v>
      </c>
      <c r="C75" t="s">
        <v>393</v>
      </c>
      <c r="D75" t="s">
        <v>600</v>
      </c>
    </row>
    <row r="76" spans="1:4">
      <c r="A76" t="s">
        <v>598</v>
      </c>
      <c r="B76" t="s">
        <v>602</v>
      </c>
      <c r="C76" t="s">
        <v>393</v>
      </c>
      <c r="D76" t="s">
        <v>600</v>
      </c>
    </row>
    <row r="77" spans="1:4">
      <c r="A77" t="s">
        <v>598</v>
      </c>
      <c r="B77" t="s">
        <v>603</v>
      </c>
      <c r="C77" t="s">
        <v>393</v>
      </c>
      <c r="D77" t="s">
        <v>600</v>
      </c>
    </row>
    <row r="78" spans="1:4">
      <c r="A78" t="s">
        <v>608</v>
      </c>
      <c r="B78" t="s">
        <v>610</v>
      </c>
      <c r="C78" t="s">
        <v>365</v>
      </c>
      <c r="D78" t="s">
        <v>609</v>
      </c>
    </row>
    <row r="79" spans="1:4">
      <c r="A79" t="s">
        <v>608</v>
      </c>
      <c r="B79" t="s">
        <v>611</v>
      </c>
      <c r="C79" t="s">
        <v>365</v>
      </c>
      <c r="D79" t="s">
        <v>609</v>
      </c>
    </row>
    <row r="80" spans="1:4">
      <c r="A80" t="s">
        <v>608</v>
      </c>
      <c r="B80" t="s">
        <v>612</v>
      </c>
      <c r="C80" t="s">
        <v>365</v>
      </c>
      <c r="D80" t="s">
        <v>609</v>
      </c>
    </row>
    <row r="81" spans="1:4">
      <c r="A81" t="s">
        <v>613</v>
      </c>
      <c r="B81" t="s">
        <v>614</v>
      </c>
      <c r="C81" t="s">
        <v>393</v>
      </c>
      <c r="D81" t="s">
        <v>616</v>
      </c>
    </row>
    <row r="82" spans="1:4">
      <c r="A82" t="s">
        <v>613</v>
      </c>
      <c r="B82" t="s">
        <v>615</v>
      </c>
      <c r="C82" t="s">
        <v>393</v>
      </c>
      <c r="D82" t="s">
        <v>616</v>
      </c>
    </row>
    <row r="83" spans="1:4">
      <c r="A83" t="s">
        <v>613</v>
      </c>
      <c r="B83" t="s">
        <v>628</v>
      </c>
      <c r="C83" t="s">
        <v>393</v>
      </c>
      <c r="D83" t="s">
        <v>616</v>
      </c>
    </row>
    <row r="84" spans="1:4">
      <c r="A84" t="s">
        <v>613</v>
      </c>
      <c r="B84" t="s">
        <v>629</v>
      </c>
      <c r="C84" t="s">
        <v>393</v>
      </c>
      <c r="D84" t="s">
        <v>616</v>
      </c>
    </row>
    <row r="85" spans="1:4">
      <c r="A85" t="s">
        <v>613</v>
      </c>
      <c r="B85" t="s">
        <v>630</v>
      </c>
      <c r="C85" t="s">
        <v>393</v>
      </c>
      <c r="D85" t="s">
        <v>616</v>
      </c>
    </row>
    <row r="86" spans="1:4">
      <c r="A86" t="s">
        <v>613</v>
      </c>
      <c r="B86" t="s">
        <v>631</v>
      </c>
      <c r="C86" t="s">
        <v>393</v>
      </c>
      <c r="D86" t="s">
        <v>616</v>
      </c>
    </row>
    <row r="87" spans="1:4">
      <c r="A87" t="s">
        <v>613</v>
      </c>
      <c r="B87" t="s">
        <v>632</v>
      </c>
      <c r="C87" t="s">
        <v>393</v>
      </c>
      <c r="D87" t="s">
        <v>634</v>
      </c>
    </row>
    <row r="88" spans="1:4">
      <c r="A88" t="s">
        <v>613</v>
      </c>
      <c r="B88" t="s">
        <v>633</v>
      </c>
      <c r="C88" t="s">
        <v>393</v>
      </c>
      <c r="D88" t="s">
        <v>634</v>
      </c>
    </row>
    <row r="89" spans="1:4">
      <c r="A89" t="s">
        <v>613</v>
      </c>
      <c r="B89" t="s">
        <v>635</v>
      </c>
      <c r="C89" t="s">
        <v>393</v>
      </c>
      <c r="D89" t="s">
        <v>634</v>
      </c>
    </row>
    <row r="90" spans="1:4">
      <c r="A90" t="s">
        <v>613</v>
      </c>
      <c r="B90" t="s">
        <v>636</v>
      </c>
      <c r="C90" t="s">
        <v>393</v>
      </c>
      <c r="D90" t="s">
        <v>634</v>
      </c>
    </row>
    <row r="91" spans="1:4">
      <c r="A91" t="s">
        <v>638</v>
      </c>
      <c r="B91" t="s">
        <v>639</v>
      </c>
      <c r="C91" t="s">
        <v>365</v>
      </c>
      <c r="D91" t="s">
        <v>637</v>
      </c>
    </row>
    <row r="92" spans="1:4">
      <c r="A92" t="s">
        <v>658</v>
      </c>
      <c r="B92" t="s">
        <v>659</v>
      </c>
      <c r="C92" t="s">
        <v>365</v>
      </c>
      <c r="D92" s="301">
        <v>1</v>
      </c>
    </row>
    <row r="93" spans="1:4">
      <c r="A93" t="s">
        <v>640</v>
      </c>
      <c r="B93" t="s">
        <v>641</v>
      </c>
      <c r="C93" t="s">
        <v>393</v>
      </c>
      <c r="D93" t="s">
        <v>642</v>
      </c>
    </row>
    <row r="94" spans="1:4">
      <c r="A94" t="s">
        <v>640</v>
      </c>
      <c r="B94" t="s">
        <v>643</v>
      </c>
      <c r="C94" t="s">
        <v>393</v>
      </c>
      <c r="D94" t="s">
        <v>642</v>
      </c>
    </row>
    <row r="95" spans="1:4">
      <c r="A95" t="s">
        <v>640</v>
      </c>
      <c r="B95" t="s">
        <v>644</v>
      </c>
      <c r="C95" t="s">
        <v>393</v>
      </c>
      <c r="D95" t="s">
        <v>642</v>
      </c>
    </row>
    <row r="96" spans="1:4">
      <c r="A96" t="s">
        <v>640</v>
      </c>
      <c r="B96" t="s">
        <v>648</v>
      </c>
      <c r="C96" t="s">
        <v>393</v>
      </c>
      <c r="D96" t="s">
        <v>642</v>
      </c>
    </row>
    <row r="97" spans="1:4">
      <c r="A97" t="s">
        <v>640</v>
      </c>
      <c r="B97" t="s">
        <v>649</v>
      </c>
      <c r="C97" t="s">
        <v>393</v>
      </c>
      <c r="D97" t="s">
        <v>642</v>
      </c>
    </row>
    <row r="98" spans="1:4">
      <c r="A98" t="s">
        <v>640</v>
      </c>
      <c r="B98" t="s">
        <v>650</v>
      </c>
      <c r="C98" t="s">
        <v>393</v>
      </c>
      <c r="D98" t="s">
        <v>642</v>
      </c>
    </row>
    <row r="99" spans="1:4">
      <c r="A99" t="s">
        <v>652</v>
      </c>
      <c r="B99" t="s">
        <v>653</v>
      </c>
      <c r="C99" t="s">
        <v>393</v>
      </c>
      <c r="D99" t="s">
        <v>654</v>
      </c>
    </row>
    <row r="100" spans="1:4">
      <c r="A100" t="s">
        <v>652</v>
      </c>
      <c r="B100" t="s">
        <v>655</v>
      </c>
      <c r="C100" t="s">
        <v>393</v>
      </c>
      <c r="D100" t="s">
        <v>654</v>
      </c>
    </row>
    <row r="101" spans="1:4">
      <c r="A101" t="s">
        <v>656</v>
      </c>
      <c r="B101" t="s">
        <v>664</v>
      </c>
      <c r="C101" t="s">
        <v>393</v>
      </c>
      <c r="D101" t="s">
        <v>654</v>
      </c>
    </row>
    <row r="102" spans="1:4">
      <c r="A102" t="s">
        <v>656</v>
      </c>
      <c r="B102" t="s">
        <v>657</v>
      </c>
      <c r="C102" t="s">
        <v>393</v>
      </c>
      <c r="D102" t="s">
        <v>654</v>
      </c>
    </row>
    <row r="103" spans="1:4">
      <c r="A103" t="s">
        <v>660</v>
      </c>
      <c r="B103" t="s">
        <v>661</v>
      </c>
      <c r="C103" t="s">
        <v>393</v>
      </c>
      <c r="D103" t="s">
        <v>662</v>
      </c>
    </row>
    <row r="104" spans="1:4">
      <c r="A104" t="s">
        <v>660</v>
      </c>
      <c r="B104" t="s">
        <v>663</v>
      </c>
      <c r="C104" t="s">
        <v>393</v>
      </c>
      <c r="D104" t="s">
        <v>662</v>
      </c>
    </row>
    <row r="105" spans="1:4">
      <c r="A105" t="s">
        <v>660</v>
      </c>
      <c r="B105" t="s">
        <v>670</v>
      </c>
      <c r="C105" t="s">
        <v>393</v>
      </c>
      <c r="D105" t="s">
        <v>662</v>
      </c>
    </row>
    <row r="106" spans="1:4">
      <c r="A106" t="s">
        <v>672</v>
      </c>
      <c r="B106" t="s">
        <v>673</v>
      </c>
      <c r="C106" t="s">
        <v>393</v>
      </c>
      <c r="D106" t="s">
        <v>662</v>
      </c>
    </row>
    <row r="107" spans="1:4">
      <c r="A107" t="s">
        <v>674</v>
      </c>
      <c r="B107" t="s">
        <v>676</v>
      </c>
      <c r="C107" t="s">
        <v>393</v>
      </c>
      <c r="D107" t="s">
        <v>675</v>
      </c>
    </row>
    <row r="108" spans="1:4">
      <c r="A108" t="s">
        <v>674</v>
      </c>
      <c r="B108" t="s">
        <v>677</v>
      </c>
      <c r="C108" t="s">
        <v>393</v>
      </c>
      <c r="D108" t="s">
        <v>675</v>
      </c>
    </row>
    <row r="109" spans="1:4">
      <c r="A109" t="s">
        <v>674</v>
      </c>
      <c r="B109" t="s">
        <v>678</v>
      </c>
      <c r="C109" t="s">
        <v>393</v>
      </c>
      <c r="D109" t="s">
        <v>675</v>
      </c>
    </row>
    <row r="110" spans="1:4">
      <c r="A110" t="s">
        <v>681</v>
      </c>
      <c r="B110" t="s">
        <v>679</v>
      </c>
      <c r="C110" t="s">
        <v>393</v>
      </c>
      <c r="D110" t="s">
        <v>680</v>
      </c>
    </row>
    <row r="111" spans="1:4">
      <c r="A111" t="s">
        <v>681</v>
      </c>
      <c r="B111" t="s">
        <v>682</v>
      </c>
      <c r="C111" t="s">
        <v>393</v>
      </c>
      <c r="D111" t="s">
        <v>683</v>
      </c>
    </row>
    <row r="112" spans="1:4">
      <c r="A112" t="s">
        <v>684</v>
      </c>
      <c r="B112" t="s">
        <v>687</v>
      </c>
      <c r="C112" t="s">
        <v>685</v>
      </c>
      <c r="D112" t="s">
        <v>686</v>
      </c>
    </row>
    <row r="113" spans="1:4">
      <c r="A113" t="s">
        <v>684</v>
      </c>
      <c r="B113" t="s">
        <v>688</v>
      </c>
      <c r="C113" t="s">
        <v>692</v>
      </c>
      <c r="D113" t="s">
        <v>691</v>
      </c>
    </row>
    <row r="114" spans="1:4">
      <c r="A114" t="s">
        <v>684</v>
      </c>
      <c r="B114" t="s">
        <v>689</v>
      </c>
      <c r="C114" t="s">
        <v>685</v>
      </c>
      <c r="D114" t="s">
        <v>691</v>
      </c>
    </row>
    <row r="115" spans="1:4">
      <c r="A115" t="s">
        <v>684</v>
      </c>
      <c r="B115" t="s">
        <v>690</v>
      </c>
      <c r="C115" t="s">
        <v>685</v>
      </c>
      <c r="D115" t="s">
        <v>691</v>
      </c>
    </row>
    <row r="117" spans="1:4">
      <c r="A117" t="s">
        <v>693</v>
      </c>
      <c r="B117" t="s">
        <v>694</v>
      </c>
      <c r="C117" t="s">
        <v>685</v>
      </c>
      <c r="D117" s="103">
        <v>1</v>
      </c>
    </row>
    <row r="119" spans="1:4">
      <c r="A119" t="s">
        <v>695</v>
      </c>
      <c r="B119" t="s">
        <v>697</v>
      </c>
      <c r="C119" t="s">
        <v>393</v>
      </c>
      <c r="D119" t="s">
        <v>696</v>
      </c>
    </row>
    <row r="120" spans="1:4">
      <c r="A120" t="s">
        <v>695</v>
      </c>
      <c r="B120" t="s">
        <v>698</v>
      </c>
      <c r="C120" t="s">
        <v>393</v>
      </c>
      <c r="D120" t="s">
        <v>696</v>
      </c>
    </row>
    <row r="121" spans="1:4">
      <c r="A121" t="s">
        <v>695</v>
      </c>
      <c r="B121" t="s">
        <v>699</v>
      </c>
      <c r="C121" t="s">
        <v>393</v>
      </c>
      <c r="D121" t="s">
        <v>696</v>
      </c>
    </row>
    <row r="122" spans="1:4">
      <c r="A122" t="s">
        <v>695</v>
      </c>
      <c r="B122" t="s">
        <v>700</v>
      </c>
      <c r="C122" t="s">
        <v>393</v>
      </c>
      <c r="D122" t="s">
        <v>696</v>
      </c>
    </row>
    <row r="123" spans="1:4">
      <c r="A123" t="s">
        <v>695</v>
      </c>
      <c r="B123" t="s">
        <v>702</v>
      </c>
      <c r="C123" t="s">
        <v>393</v>
      </c>
      <c r="D123" t="s">
        <v>696</v>
      </c>
    </row>
    <row r="124" spans="1:4">
      <c r="A124" t="s">
        <v>695</v>
      </c>
      <c r="B124" t="s">
        <v>701</v>
      </c>
      <c r="C124" t="s">
        <v>393</v>
      </c>
      <c r="D124" t="s">
        <v>696</v>
      </c>
    </row>
    <row r="126" spans="1:4">
      <c r="A126" t="s">
        <v>703</v>
      </c>
      <c r="B126" t="s">
        <v>704</v>
      </c>
      <c r="C126" t="s">
        <v>393</v>
      </c>
      <c r="D126" t="s">
        <v>705</v>
      </c>
    </row>
    <row r="127" spans="1:4">
      <c r="A127" t="s">
        <v>703</v>
      </c>
      <c r="B127" t="s">
        <v>707</v>
      </c>
      <c r="C127" t="s">
        <v>393</v>
      </c>
      <c r="D127" t="s">
        <v>705</v>
      </c>
    </row>
    <row r="128" spans="1:4">
      <c r="A128" t="s">
        <v>703</v>
      </c>
      <c r="B128" t="s">
        <v>713</v>
      </c>
      <c r="C128" t="s">
        <v>393</v>
      </c>
      <c r="D128" t="s">
        <v>705</v>
      </c>
    </row>
    <row r="129" spans="1:4">
      <c r="A129" t="s">
        <v>703</v>
      </c>
      <c r="B129" t="s">
        <v>708</v>
      </c>
      <c r="C129" t="s">
        <v>393</v>
      </c>
      <c r="D129" t="s">
        <v>705</v>
      </c>
    </row>
    <row r="130" spans="1:4">
      <c r="A130" t="s">
        <v>703</v>
      </c>
      <c r="B130" t="s">
        <v>710</v>
      </c>
      <c r="C130" t="s">
        <v>393</v>
      </c>
      <c r="D130" t="s">
        <v>705</v>
      </c>
    </row>
    <row r="131" spans="1:4">
      <c r="A131" t="s">
        <v>703</v>
      </c>
      <c r="B131" t="s">
        <v>711</v>
      </c>
      <c r="C131" t="s">
        <v>393</v>
      </c>
      <c r="D131" t="s">
        <v>705</v>
      </c>
    </row>
    <row r="132" spans="1:4">
      <c r="A132" t="s">
        <v>703</v>
      </c>
      <c r="B132" t="s">
        <v>712</v>
      </c>
      <c r="C132" t="s">
        <v>393</v>
      </c>
      <c r="D132" t="s">
        <v>705</v>
      </c>
    </row>
    <row r="133" spans="1:4">
      <c r="A133" t="s">
        <v>703</v>
      </c>
      <c r="B133" t="s">
        <v>714</v>
      </c>
      <c r="C133" t="s">
        <v>393</v>
      </c>
      <c r="D133" t="s">
        <v>705</v>
      </c>
    </row>
    <row r="134" spans="1:4">
      <c r="A134" t="s">
        <v>703</v>
      </c>
      <c r="B134" t="s">
        <v>715</v>
      </c>
      <c r="C134" t="s">
        <v>393</v>
      </c>
      <c r="D134" t="s">
        <v>705</v>
      </c>
    </row>
    <row r="135" spans="1:4">
      <c r="A135" t="s">
        <v>717</v>
      </c>
      <c r="B135" t="s">
        <v>718</v>
      </c>
      <c r="C135" t="s">
        <v>393</v>
      </c>
      <c r="D135" t="s">
        <v>716</v>
      </c>
    </row>
    <row r="136" spans="1:4">
      <c r="A136" t="s">
        <v>717</v>
      </c>
      <c r="B136" t="s">
        <v>719</v>
      </c>
      <c r="C136" t="s">
        <v>393</v>
      </c>
      <c r="D136" t="s">
        <v>716</v>
      </c>
    </row>
    <row r="137" spans="1:4">
      <c r="A137" t="s">
        <v>717</v>
      </c>
      <c r="B137" t="s">
        <v>722</v>
      </c>
      <c r="C137" t="s">
        <v>393</v>
      </c>
      <c r="D137" t="s">
        <v>721</v>
      </c>
    </row>
    <row r="139" spans="1:4">
      <c r="A139" t="s">
        <v>717</v>
      </c>
      <c r="B139" t="s">
        <v>723</v>
      </c>
      <c r="C139" t="s">
        <v>393</v>
      </c>
      <c r="D139" t="s">
        <v>705</v>
      </c>
    </row>
    <row r="141" spans="1:4">
      <c r="A141" t="s">
        <v>729</v>
      </c>
      <c r="B141" t="s">
        <v>737</v>
      </c>
      <c r="C141" t="s">
        <v>393</v>
      </c>
      <c r="D141" t="s">
        <v>716</v>
      </c>
    </row>
    <row r="142" spans="1:4">
      <c r="A142" t="s">
        <v>729</v>
      </c>
      <c r="B142" t="s">
        <v>731</v>
      </c>
      <c r="C142" t="s">
        <v>393</v>
      </c>
      <c r="D142" t="s">
        <v>716</v>
      </c>
    </row>
    <row r="143" spans="1:4">
      <c r="A143" t="s">
        <v>729</v>
      </c>
      <c r="B143" t="s">
        <v>733</v>
      </c>
      <c r="C143" t="s">
        <v>393</v>
      </c>
      <c r="D143" t="s">
        <v>716</v>
      </c>
    </row>
    <row r="144" spans="1:4">
      <c r="A144" t="s">
        <v>729</v>
      </c>
      <c r="B144" t="s">
        <v>734</v>
      </c>
      <c r="C144" t="s">
        <v>393</v>
      </c>
      <c r="D144" t="s">
        <v>716</v>
      </c>
    </row>
    <row r="145" spans="1:4">
      <c r="A145" t="s">
        <v>729</v>
      </c>
      <c r="B145" t="s">
        <v>732</v>
      </c>
      <c r="C145" t="s">
        <v>393</v>
      </c>
      <c r="D145" t="s">
        <v>716</v>
      </c>
    </row>
    <row r="146" spans="1:4">
      <c r="A146" t="s">
        <v>729</v>
      </c>
      <c r="B146" t="s">
        <v>730</v>
      </c>
      <c r="C146" t="s">
        <v>393</v>
      </c>
      <c r="D146" t="s">
        <v>716</v>
      </c>
    </row>
    <row r="147" spans="1:4">
      <c r="A147" t="s">
        <v>729</v>
      </c>
      <c r="B147" t="s">
        <v>730</v>
      </c>
      <c r="C147" t="s">
        <v>393</v>
      </c>
      <c r="D147" t="s">
        <v>716</v>
      </c>
    </row>
    <row r="148" spans="1:4">
      <c r="A148" t="s">
        <v>729</v>
      </c>
      <c r="B148" t="s">
        <v>735</v>
      </c>
      <c r="C148" t="s">
        <v>393</v>
      </c>
      <c r="D148" t="s">
        <v>716</v>
      </c>
    </row>
    <row r="149" spans="1:4">
      <c r="A149" t="s">
        <v>729</v>
      </c>
      <c r="B149" t="s">
        <v>736</v>
      </c>
      <c r="C149" t="s">
        <v>393</v>
      </c>
      <c r="D149" t="s">
        <v>716</v>
      </c>
    </row>
    <row r="150" spans="1:4">
      <c r="A150" t="s">
        <v>739</v>
      </c>
      <c r="B150" t="s">
        <v>740</v>
      </c>
      <c r="C150" t="s">
        <v>741</v>
      </c>
      <c r="D150" t="s">
        <v>721</v>
      </c>
    </row>
    <row r="151" spans="1:4">
      <c r="A151" t="s">
        <v>739</v>
      </c>
      <c r="B151" t="s">
        <v>742</v>
      </c>
      <c r="C151" t="s">
        <v>741</v>
      </c>
      <c r="D151" t="s">
        <v>721</v>
      </c>
    </row>
    <row r="152" spans="1:4">
      <c r="A152" t="s">
        <v>739</v>
      </c>
      <c r="B152" t="s">
        <v>743</v>
      </c>
      <c r="C152" t="s">
        <v>741</v>
      </c>
      <c r="D152" t="s">
        <v>756</v>
      </c>
    </row>
    <row r="153" spans="1:4">
      <c r="A153" t="s">
        <v>739</v>
      </c>
      <c r="B153" t="s">
        <v>744</v>
      </c>
      <c r="C153" t="s">
        <v>741</v>
      </c>
      <c r="D153" t="s">
        <v>756</v>
      </c>
    </row>
    <row r="154" spans="1:4">
      <c r="A154" t="s">
        <v>739</v>
      </c>
      <c r="B154" t="s">
        <v>745</v>
      </c>
      <c r="C154" t="s">
        <v>741</v>
      </c>
      <c r="D154" t="s">
        <v>756</v>
      </c>
    </row>
    <row r="155" spans="1:4">
      <c r="A155" t="s">
        <v>739</v>
      </c>
      <c r="B155" t="s">
        <v>746</v>
      </c>
      <c r="C155" t="s">
        <v>741</v>
      </c>
      <c r="D155" t="s">
        <v>756</v>
      </c>
    </row>
    <row r="156" spans="1:4">
      <c r="A156" t="s">
        <v>739</v>
      </c>
      <c r="B156" t="s">
        <v>747</v>
      </c>
      <c r="C156" t="s">
        <v>741</v>
      </c>
      <c r="D156" t="s">
        <v>756</v>
      </c>
    </row>
    <row r="157" spans="1:4">
      <c r="A157" t="s">
        <v>739</v>
      </c>
      <c r="B157" t="s">
        <v>748</v>
      </c>
      <c r="C157" t="s">
        <v>741</v>
      </c>
      <c r="D157" t="s">
        <v>756</v>
      </c>
    </row>
    <row r="158" spans="1:4">
      <c r="A158" t="s">
        <v>739</v>
      </c>
      <c r="B158" t="s">
        <v>749</v>
      </c>
      <c r="C158" t="s">
        <v>741</v>
      </c>
      <c r="D158" t="s">
        <v>756</v>
      </c>
    </row>
    <row r="159" spans="1:4">
      <c r="A159" t="s">
        <v>739</v>
      </c>
      <c r="B159" t="s">
        <v>750</v>
      </c>
      <c r="C159" t="s">
        <v>741</v>
      </c>
      <c r="D159" t="s">
        <v>756</v>
      </c>
    </row>
    <row r="160" spans="1:4">
      <c r="A160" t="s">
        <v>739</v>
      </c>
      <c r="B160" t="s">
        <v>751</v>
      </c>
      <c r="C160" t="s">
        <v>741</v>
      </c>
      <c r="D160" t="s">
        <v>756</v>
      </c>
    </row>
    <row r="161" spans="1:4">
      <c r="A161" t="s">
        <v>739</v>
      </c>
      <c r="B161" t="s">
        <v>752</v>
      </c>
      <c r="C161" t="s">
        <v>741</v>
      </c>
      <c r="D161" t="s">
        <v>756</v>
      </c>
    </row>
    <row r="162" spans="1:4">
      <c r="A162" t="s">
        <v>739</v>
      </c>
      <c r="B162" t="s">
        <v>753</v>
      </c>
      <c r="C162" t="s">
        <v>741</v>
      </c>
      <c r="D162" t="s">
        <v>756</v>
      </c>
    </row>
    <row r="163" spans="1:4">
      <c r="A163" t="s">
        <v>739</v>
      </c>
      <c r="B163" t="s">
        <v>754</v>
      </c>
      <c r="C163" t="s">
        <v>741</v>
      </c>
      <c r="D163" t="s">
        <v>756</v>
      </c>
    </row>
    <row r="164" spans="1:4">
      <c r="A164" t="s">
        <v>755</v>
      </c>
      <c r="B164" t="s">
        <v>758</v>
      </c>
      <c r="C164" t="s">
        <v>393</v>
      </c>
      <c r="D164" t="s">
        <v>757</v>
      </c>
    </row>
    <row r="165" spans="1:4">
      <c r="A165" t="s">
        <v>755</v>
      </c>
      <c r="B165" t="s">
        <v>759</v>
      </c>
      <c r="C165" t="s">
        <v>393</v>
      </c>
      <c r="D165" t="s">
        <v>757</v>
      </c>
    </row>
    <row r="166" spans="1:4">
      <c r="A166" t="s">
        <v>755</v>
      </c>
      <c r="B166" t="s">
        <v>760</v>
      </c>
      <c r="C166" t="s">
        <v>393</v>
      </c>
      <c r="D166" t="s">
        <v>757</v>
      </c>
    </row>
    <row r="167" spans="1:4">
      <c r="A167" t="s">
        <v>755</v>
      </c>
      <c r="B167" t="s">
        <v>761</v>
      </c>
      <c r="C167" t="s">
        <v>393</v>
      </c>
      <c r="D167" t="s">
        <v>757</v>
      </c>
    </row>
    <row r="168" spans="1:4">
      <c r="A168" t="s">
        <v>762</v>
      </c>
      <c r="B168" t="s">
        <v>763</v>
      </c>
      <c r="C168" t="s">
        <v>393</v>
      </c>
      <c r="D168" t="s">
        <v>765</v>
      </c>
    </row>
    <row r="169" spans="1:4">
      <c r="A169" t="s">
        <v>762</v>
      </c>
      <c r="B169" t="s">
        <v>764</v>
      </c>
      <c r="C169" t="s">
        <v>393</v>
      </c>
      <c r="D169" t="s">
        <v>765</v>
      </c>
    </row>
    <row r="170" spans="1:4">
      <c r="A170" t="s">
        <v>766</v>
      </c>
      <c r="B170" t="s">
        <v>768</v>
      </c>
      <c r="C170" t="s">
        <v>393</v>
      </c>
      <c r="D170" t="s">
        <v>767</v>
      </c>
    </row>
    <row r="171" spans="1:4">
      <c r="A171" t="s">
        <v>766</v>
      </c>
      <c r="B171" t="s">
        <v>769</v>
      </c>
      <c r="C171" t="s">
        <v>393</v>
      </c>
      <c r="D171" t="s">
        <v>767</v>
      </c>
    </row>
    <row r="172" spans="1:4">
      <c r="A172" t="s">
        <v>770</v>
      </c>
      <c r="B172" t="s">
        <v>771</v>
      </c>
      <c r="C172" t="s">
        <v>393</v>
      </c>
      <c r="D172" t="s">
        <v>773</v>
      </c>
    </row>
    <row r="173" spans="1:4">
      <c r="A173" t="s">
        <v>770</v>
      </c>
      <c r="B173" t="s">
        <v>772</v>
      </c>
      <c r="C173" t="s">
        <v>393</v>
      </c>
      <c r="D173" t="s">
        <v>773</v>
      </c>
    </row>
    <row r="174" spans="1:4">
      <c r="A174" t="s">
        <v>844</v>
      </c>
      <c r="B174" t="s">
        <v>845</v>
      </c>
      <c r="C174" t="s">
        <v>393</v>
      </c>
      <c r="D174" t="s">
        <v>847</v>
      </c>
    </row>
    <row r="175" spans="1:4">
      <c r="A175" t="s">
        <v>844</v>
      </c>
      <c r="B175" t="s">
        <v>846</v>
      </c>
      <c r="C175" t="s">
        <v>393</v>
      </c>
      <c r="D175" t="s">
        <v>847</v>
      </c>
    </row>
    <row r="176" spans="1:4">
      <c r="A176" t="s">
        <v>844</v>
      </c>
      <c r="B176" t="s">
        <v>848</v>
      </c>
      <c r="C176" t="s">
        <v>393</v>
      </c>
      <c r="D176" t="s">
        <v>847</v>
      </c>
    </row>
    <row r="177" spans="1:4">
      <c r="A177" t="s">
        <v>844</v>
      </c>
      <c r="B177" t="s">
        <v>849</v>
      </c>
      <c r="C177" t="s">
        <v>393</v>
      </c>
      <c r="D177" t="s">
        <v>847</v>
      </c>
    </row>
    <row r="178" spans="1:4">
      <c r="A178" t="s">
        <v>844</v>
      </c>
      <c r="B178" t="s">
        <v>868</v>
      </c>
      <c r="C178" t="s">
        <v>393</v>
      </c>
      <c r="D178" t="s">
        <v>847</v>
      </c>
    </row>
    <row r="179" spans="1:4">
      <c r="A179" t="s">
        <v>844</v>
      </c>
      <c r="B179" t="s">
        <v>869</v>
      </c>
      <c r="C179" t="s">
        <v>393</v>
      </c>
      <c r="D179" t="s">
        <v>847</v>
      </c>
    </row>
    <row r="180" spans="1:4">
      <c r="A180" t="s">
        <v>844</v>
      </c>
      <c r="B180" t="s">
        <v>870</v>
      </c>
      <c r="C180" t="s">
        <v>393</v>
      </c>
      <c r="D180" t="s">
        <v>847</v>
      </c>
    </row>
    <row r="181" spans="1:4">
      <c r="A181" t="s">
        <v>844</v>
      </c>
      <c r="B181" t="s">
        <v>871</v>
      </c>
      <c r="C181" t="s">
        <v>393</v>
      </c>
      <c r="D181" t="s">
        <v>847</v>
      </c>
    </row>
    <row r="182" spans="1:4">
      <c r="A182" t="s">
        <v>844</v>
      </c>
      <c r="B182" t="s">
        <v>874</v>
      </c>
      <c r="C182" t="s">
        <v>393</v>
      </c>
      <c r="D182" t="s">
        <v>847</v>
      </c>
    </row>
    <row r="183" spans="1:4">
      <c r="A183" t="s">
        <v>844</v>
      </c>
      <c r="B183" t="s">
        <v>872</v>
      </c>
      <c r="C183" t="s">
        <v>393</v>
      </c>
      <c r="D183" t="s">
        <v>847</v>
      </c>
    </row>
    <row r="184" spans="1:4">
      <c r="A184" t="s">
        <v>844</v>
      </c>
      <c r="B184" t="s">
        <v>873</v>
      </c>
      <c r="C184" t="s">
        <v>393</v>
      </c>
      <c r="D184" t="s">
        <v>847</v>
      </c>
    </row>
    <row r="185" spans="1:4">
      <c r="A185" t="s">
        <v>774</v>
      </c>
      <c r="B185" t="s">
        <v>884</v>
      </c>
      <c r="C185" t="s">
        <v>393</v>
      </c>
      <c r="D185" t="s">
        <v>883</v>
      </c>
    </row>
    <row r="186" spans="1:4">
      <c r="A186" t="s">
        <v>955</v>
      </c>
      <c r="B186" t="s">
        <v>956</v>
      </c>
      <c r="C186" t="s">
        <v>393</v>
      </c>
      <c r="D186" t="s">
        <v>957</v>
      </c>
    </row>
    <row r="187" spans="1:4">
      <c r="A187" t="s">
        <v>955</v>
      </c>
      <c r="B187" t="s">
        <v>1028</v>
      </c>
      <c r="C187" t="s">
        <v>393</v>
      </c>
      <c r="D187" t="s">
        <v>957</v>
      </c>
    </row>
    <row r="188" spans="1:4">
      <c r="A188" t="s">
        <v>955</v>
      </c>
      <c r="B188" t="s">
        <v>1064</v>
      </c>
      <c r="C188" t="s">
        <v>393</v>
      </c>
      <c r="D188" t="s">
        <v>957</v>
      </c>
    </row>
    <row r="189" spans="1:4">
      <c r="A189" t="s">
        <v>955</v>
      </c>
      <c r="B189" t="s">
        <v>1065</v>
      </c>
      <c r="C189" t="s">
        <v>393</v>
      </c>
      <c r="D189" t="s">
        <v>957</v>
      </c>
    </row>
    <row r="190" spans="1:4">
      <c r="A190" t="s">
        <v>955</v>
      </c>
      <c r="B190" t="s">
        <v>1066</v>
      </c>
      <c r="C190" t="s">
        <v>393</v>
      </c>
      <c r="D190" t="s">
        <v>957</v>
      </c>
    </row>
    <row r="191" spans="1:4">
      <c r="A191" t="s">
        <v>955</v>
      </c>
      <c r="B191" t="s">
        <v>1067</v>
      </c>
      <c r="C191" t="s">
        <v>393</v>
      </c>
      <c r="D191" t="s">
        <v>957</v>
      </c>
    </row>
    <row r="192" spans="1:4">
      <c r="A192" t="s">
        <v>955</v>
      </c>
      <c r="B192" t="s">
        <v>1068</v>
      </c>
      <c r="C192" t="s">
        <v>393</v>
      </c>
      <c r="D192" t="s">
        <v>1073</v>
      </c>
    </row>
    <row r="193" spans="1:4">
      <c r="A193" t="s">
        <v>1069</v>
      </c>
      <c r="B193" t="s">
        <v>1070</v>
      </c>
      <c r="C193" t="s">
        <v>393</v>
      </c>
      <c r="D193" t="s">
        <v>1073</v>
      </c>
    </row>
    <row r="194" spans="1:4">
      <c r="A194" t="s">
        <v>1069</v>
      </c>
      <c r="B194" t="s">
        <v>1071</v>
      </c>
    </row>
    <row r="195" spans="1:4">
      <c r="A195" t="s">
        <v>1094</v>
      </c>
      <c r="B195" t="s">
        <v>1095</v>
      </c>
      <c r="C195" t="s">
        <v>685</v>
      </c>
      <c r="D195" t="s">
        <v>1104</v>
      </c>
    </row>
    <row r="196" spans="1:4">
      <c r="A196" t="s">
        <v>1094</v>
      </c>
      <c r="B196" t="s">
        <v>1096</v>
      </c>
      <c r="C196" t="s">
        <v>685</v>
      </c>
      <c r="D196" t="s">
        <v>1104</v>
      </c>
    </row>
    <row r="197" spans="1:4">
      <c r="A197" t="s">
        <v>1094</v>
      </c>
      <c r="B197" t="s">
        <v>1097</v>
      </c>
      <c r="C197" t="s">
        <v>685</v>
      </c>
      <c r="D197" t="s">
        <v>1104</v>
      </c>
    </row>
    <row r="198" spans="1:4">
      <c r="A198" t="s">
        <v>1094</v>
      </c>
      <c r="B198" t="s">
        <v>1098</v>
      </c>
      <c r="C198" t="s">
        <v>685</v>
      </c>
      <c r="D198" t="s">
        <v>1104</v>
      </c>
    </row>
    <row r="199" spans="1:4">
      <c r="A199" t="s">
        <v>1094</v>
      </c>
      <c r="B199" t="s">
        <v>1102</v>
      </c>
      <c r="C199" t="s">
        <v>685</v>
      </c>
      <c r="D199" t="s">
        <v>1104</v>
      </c>
    </row>
    <row r="200" spans="1:4">
      <c r="A200" t="s">
        <v>1094</v>
      </c>
      <c r="B200" t="s">
        <v>1099</v>
      </c>
      <c r="C200" t="s">
        <v>685</v>
      </c>
      <c r="D200" t="s">
        <v>1104</v>
      </c>
    </row>
    <row r="201" spans="1:4">
      <c r="A201" t="s">
        <v>1094</v>
      </c>
      <c r="B201" t="s">
        <v>1100</v>
      </c>
      <c r="C201" t="s">
        <v>685</v>
      </c>
      <c r="D201" t="s">
        <v>1104</v>
      </c>
    </row>
    <row r="202" spans="1:4">
      <c r="A202" t="s">
        <v>1094</v>
      </c>
      <c r="B202" t="s">
        <v>1101</v>
      </c>
      <c r="C202" t="s">
        <v>685</v>
      </c>
      <c r="D202" t="s">
        <v>1104</v>
      </c>
    </row>
    <row r="203" spans="1:4">
      <c r="A203" t="s">
        <v>1094</v>
      </c>
      <c r="B203" t="s">
        <v>1103</v>
      </c>
      <c r="C203" t="s">
        <v>685</v>
      </c>
      <c r="D203" t="s">
        <v>1104</v>
      </c>
    </row>
    <row r="204" spans="1:4">
      <c r="A204" t="s">
        <v>1105</v>
      </c>
      <c r="B204" t="s">
        <v>1106</v>
      </c>
      <c r="C204" t="s">
        <v>393</v>
      </c>
      <c r="D204" t="s">
        <v>1107</v>
      </c>
    </row>
    <row r="205" spans="1:4">
      <c r="A205" t="s">
        <v>1128</v>
      </c>
      <c r="B205" t="s">
        <v>1129</v>
      </c>
      <c r="C205" t="s">
        <v>685</v>
      </c>
      <c r="D205" t="s">
        <v>1130</v>
      </c>
    </row>
    <row r="206" spans="1:4">
      <c r="A206" t="s">
        <v>1141</v>
      </c>
      <c r="B206" t="s">
        <v>1142</v>
      </c>
      <c r="C206" t="s">
        <v>685</v>
      </c>
      <c r="D206" t="s">
        <v>1143</v>
      </c>
    </row>
    <row r="207" spans="1:4">
      <c r="A207" t="s">
        <v>1146</v>
      </c>
      <c r="B207" t="s">
        <v>1147</v>
      </c>
    </row>
    <row r="208" spans="1:4">
      <c r="A208" t="s">
        <v>1146</v>
      </c>
      <c r="B208" t="s">
        <v>1148</v>
      </c>
    </row>
    <row r="209" spans="1:4">
      <c r="A209" t="s">
        <v>1146</v>
      </c>
      <c r="B209" t="s">
        <v>1156</v>
      </c>
      <c r="C209" t="s">
        <v>393</v>
      </c>
      <c r="D209" t="s">
        <v>1159</v>
      </c>
    </row>
    <row r="210" spans="1:4">
      <c r="A210" t="s">
        <v>1146</v>
      </c>
      <c r="B210" t="s">
        <v>1157</v>
      </c>
      <c r="C210" t="s">
        <v>393</v>
      </c>
      <c r="D210" t="s">
        <v>1159</v>
      </c>
    </row>
    <row r="211" spans="1:4">
      <c r="A211" t="s">
        <v>1146</v>
      </c>
      <c r="B211" t="s">
        <v>1158</v>
      </c>
      <c r="C211" t="s">
        <v>393</v>
      </c>
      <c r="D211" t="s">
        <v>1159</v>
      </c>
    </row>
    <row r="212" spans="1:4">
      <c r="A212" t="s">
        <v>1146</v>
      </c>
      <c r="B212" t="s">
        <v>1160</v>
      </c>
      <c r="C212" t="s">
        <v>393</v>
      </c>
      <c r="D212" t="s">
        <v>1159</v>
      </c>
    </row>
    <row r="213" spans="1:4">
      <c r="A213" t="s">
        <v>1146</v>
      </c>
      <c r="B213" t="s">
        <v>1161</v>
      </c>
      <c r="C213" t="s">
        <v>393</v>
      </c>
      <c r="D213" t="s">
        <v>1159</v>
      </c>
    </row>
    <row r="214" spans="1:4">
      <c r="A214" t="s">
        <v>1146</v>
      </c>
      <c r="B214" t="s">
        <v>1162</v>
      </c>
      <c r="C214" t="s">
        <v>393</v>
      </c>
      <c r="D214" t="s">
        <v>1159</v>
      </c>
    </row>
    <row r="215" spans="1:4">
      <c r="A215" t="s">
        <v>1146</v>
      </c>
      <c r="B215" t="s">
        <v>1165</v>
      </c>
      <c r="C215" t="s">
        <v>393</v>
      </c>
      <c r="D215" t="s">
        <v>1159</v>
      </c>
    </row>
    <row r="216" spans="1:4">
      <c r="A216" t="s">
        <v>1166</v>
      </c>
      <c r="B216" t="s">
        <v>1167</v>
      </c>
      <c r="C216" t="s">
        <v>393</v>
      </c>
      <c r="D216" t="s">
        <v>1168</v>
      </c>
    </row>
    <row r="217" spans="1:4">
      <c r="A217" t="s">
        <v>1166</v>
      </c>
      <c r="B217" t="s">
        <v>1174</v>
      </c>
      <c r="C217" t="s">
        <v>393</v>
      </c>
      <c r="D217" t="s">
        <v>1168</v>
      </c>
    </row>
    <row r="218" spans="1:4">
      <c r="A218" t="s">
        <v>1166</v>
      </c>
      <c r="B218" t="s">
        <v>1176</v>
      </c>
      <c r="C218" t="s">
        <v>393</v>
      </c>
      <c r="D218" t="s">
        <v>1168</v>
      </c>
    </row>
    <row r="219" spans="1:4">
      <c r="A219" t="s">
        <v>1166</v>
      </c>
      <c r="B219" t="s">
        <v>1183</v>
      </c>
      <c r="C219" t="s">
        <v>393</v>
      </c>
      <c r="D219" t="s">
        <v>1168</v>
      </c>
    </row>
    <row r="220" spans="1:4">
      <c r="A220" t="s">
        <v>1166</v>
      </c>
      <c r="B220" t="s">
        <v>1184</v>
      </c>
      <c r="C220" t="s">
        <v>393</v>
      </c>
      <c r="D220" t="s">
        <v>1168</v>
      </c>
    </row>
    <row r="221" spans="1:4">
      <c r="A221" t="s">
        <v>1166</v>
      </c>
      <c r="B221" t="s">
        <v>1185</v>
      </c>
      <c r="C221" t="s">
        <v>393</v>
      </c>
      <c r="D221" t="s">
        <v>1168</v>
      </c>
    </row>
    <row r="222" spans="1:4">
      <c r="A222" t="s">
        <v>1203</v>
      </c>
      <c r="B222" t="s">
        <v>1204</v>
      </c>
      <c r="C222" t="s">
        <v>685</v>
      </c>
      <c r="D222" t="s">
        <v>1205</v>
      </c>
    </row>
    <row r="223" spans="1:4">
      <c r="A223" t="s">
        <v>1203</v>
      </c>
      <c r="B223" t="s">
        <v>1206</v>
      </c>
      <c r="C223" t="s">
        <v>685</v>
      </c>
      <c r="D223" t="s">
        <v>1205</v>
      </c>
    </row>
    <row r="224" spans="1:4" ht="29">
      <c r="A224" t="s">
        <v>1203</v>
      </c>
      <c r="B224" s="436" t="s">
        <v>1207</v>
      </c>
      <c r="C224" t="s">
        <v>685</v>
      </c>
      <c r="D224" t="s">
        <v>1205</v>
      </c>
    </row>
    <row r="225" spans="1:4">
      <c r="A225" t="s">
        <v>1203</v>
      </c>
      <c r="B225" t="s">
        <v>1208</v>
      </c>
      <c r="C225" t="s">
        <v>685</v>
      </c>
      <c r="D225" t="s">
        <v>1205</v>
      </c>
    </row>
    <row r="226" spans="1:4">
      <c r="A226" t="s">
        <v>1203</v>
      </c>
      <c r="B226" t="s">
        <v>1209</v>
      </c>
      <c r="C226" t="s">
        <v>685</v>
      </c>
      <c r="D226" t="s">
        <v>1205</v>
      </c>
    </row>
    <row r="227" spans="1:4">
      <c r="A227" t="s">
        <v>1210</v>
      </c>
      <c r="B227" t="s">
        <v>1211</v>
      </c>
      <c r="C227" t="s">
        <v>692</v>
      </c>
      <c r="D227" t="s">
        <v>1213</v>
      </c>
    </row>
    <row r="228" spans="1:4">
      <c r="A228" t="s">
        <v>1210</v>
      </c>
      <c r="B228" s="436" t="s">
        <v>1212</v>
      </c>
      <c r="C228" t="s">
        <v>685</v>
      </c>
      <c r="D228" t="s">
        <v>1213</v>
      </c>
    </row>
    <row r="229" spans="1:4">
      <c r="A229" t="s">
        <v>1210</v>
      </c>
      <c r="B229" t="s">
        <v>1214</v>
      </c>
      <c r="C229" t="s">
        <v>393</v>
      </c>
      <c r="D229" t="s">
        <v>1215</v>
      </c>
    </row>
    <row r="230" spans="1:4">
      <c r="A230" t="s">
        <v>1210</v>
      </c>
      <c r="B230" t="s">
        <v>1220</v>
      </c>
      <c r="C230" t="s">
        <v>393</v>
      </c>
      <c r="D230" t="s">
        <v>1215</v>
      </c>
    </row>
    <row r="231" spans="1:4">
      <c r="A231" t="s">
        <v>1210</v>
      </c>
      <c r="B231" t="s">
        <v>1221</v>
      </c>
      <c r="C231" t="s">
        <v>393</v>
      </c>
      <c r="D231" t="s">
        <v>1215</v>
      </c>
    </row>
    <row r="232" spans="1:4">
      <c r="A232" t="s">
        <v>1210</v>
      </c>
      <c r="B232" t="s">
        <v>1222</v>
      </c>
      <c r="C232" t="s">
        <v>393</v>
      </c>
      <c r="D232" t="s">
        <v>1215</v>
      </c>
    </row>
    <row r="233" spans="1:4">
      <c r="A233" t="s">
        <v>1210</v>
      </c>
      <c r="B233" t="s">
        <v>1223</v>
      </c>
      <c r="C233" t="s">
        <v>393</v>
      </c>
      <c r="D233" t="s">
        <v>1215</v>
      </c>
    </row>
    <row r="234" spans="1:4">
      <c r="A234" t="s">
        <v>1210</v>
      </c>
      <c r="B234" t="s">
        <v>1224</v>
      </c>
      <c r="C234" t="s">
        <v>393</v>
      </c>
      <c r="D234" t="s">
        <v>1215</v>
      </c>
    </row>
    <row r="235" spans="1:4">
      <c r="A235" t="s">
        <v>1210</v>
      </c>
      <c r="B235" t="s">
        <v>1225</v>
      </c>
      <c r="C235" t="s">
        <v>393</v>
      </c>
      <c r="D235" t="s">
        <v>1215</v>
      </c>
    </row>
    <row r="236" spans="1:4">
      <c r="A236" t="s">
        <v>1210</v>
      </c>
      <c r="B236" t="s">
        <v>1226</v>
      </c>
      <c r="C236" t="s">
        <v>393</v>
      </c>
      <c r="D236" t="s">
        <v>1215</v>
      </c>
    </row>
    <row r="237" spans="1:4">
      <c r="A237" t="s">
        <v>1227</v>
      </c>
      <c r="B237" t="s">
        <v>1228</v>
      </c>
    </row>
    <row r="238" spans="1:4">
      <c r="A238" t="s">
        <v>1227</v>
      </c>
      <c r="B238" t="s">
        <v>1229</v>
      </c>
    </row>
    <row r="239" spans="1:4">
      <c r="A239" t="s">
        <v>1227</v>
      </c>
      <c r="B239" t="s">
        <v>1236</v>
      </c>
    </row>
    <row r="240" spans="1:4">
      <c r="A240" t="s">
        <v>1227</v>
      </c>
      <c r="B240" t="s">
        <v>1237</v>
      </c>
    </row>
    <row r="241" spans="1:4">
      <c r="A241" t="s">
        <v>1227</v>
      </c>
      <c r="B241" t="s">
        <v>1238</v>
      </c>
    </row>
    <row r="242" spans="1:4">
      <c r="A242" t="s">
        <v>1227</v>
      </c>
      <c r="B242" t="s">
        <v>1241</v>
      </c>
      <c r="C242" t="s">
        <v>393</v>
      </c>
      <c r="D242" t="s">
        <v>1242</v>
      </c>
    </row>
    <row r="243" spans="1:4">
      <c r="A243" t="s">
        <v>1243</v>
      </c>
      <c r="B243" t="s">
        <v>1244</v>
      </c>
      <c r="C243" t="s">
        <v>393</v>
      </c>
      <c r="D243" t="s">
        <v>1245</v>
      </c>
    </row>
    <row r="244" spans="1:4">
      <c r="A244" t="s">
        <v>1243</v>
      </c>
      <c r="B244" t="s">
        <v>1246</v>
      </c>
      <c r="C244" t="s">
        <v>393</v>
      </c>
      <c r="D244" t="s">
        <v>1245</v>
      </c>
    </row>
    <row r="245" spans="1:4">
      <c r="A245" t="s">
        <v>1243</v>
      </c>
      <c r="B245" t="s">
        <v>1248</v>
      </c>
      <c r="C245" t="s">
        <v>393</v>
      </c>
      <c r="D245" t="s">
        <v>1245</v>
      </c>
    </row>
    <row r="246" spans="1:4">
      <c r="A246" t="s">
        <v>1243</v>
      </c>
      <c r="B246" t="s">
        <v>1249</v>
      </c>
      <c r="C246" t="s">
        <v>393</v>
      </c>
      <c r="D246" t="s">
        <v>1245</v>
      </c>
    </row>
    <row r="247" spans="1:4">
      <c r="A247" t="s">
        <v>1243</v>
      </c>
      <c r="B247" t="s">
        <v>1253</v>
      </c>
      <c r="C247" t="s">
        <v>393</v>
      </c>
      <c r="D247" t="s">
        <v>1245</v>
      </c>
    </row>
    <row r="248" spans="1:4">
      <c r="A248" t="s">
        <v>1243</v>
      </c>
      <c r="B248" t="s">
        <v>1250</v>
      </c>
      <c r="C248" t="s">
        <v>393</v>
      </c>
      <c r="D248" t="s">
        <v>1245</v>
      </c>
    </row>
    <row r="249" spans="1:4">
      <c r="A249" t="s">
        <v>1255</v>
      </c>
      <c r="B249" t="s">
        <v>1277</v>
      </c>
      <c r="C249" t="s">
        <v>393</v>
      </c>
      <c r="D249" t="s">
        <v>1256</v>
      </c>
    </row>
    <row r="250" spans="1:4">
      <c r="A250" t="s">
        <v>1276</v>
      </c>
      <c r="B250" t="s">
        <v>1278</v>
      </c>
      <c r="C250" t="s">
        <v>393</v>
      </c>
      <c r="D250" t="s">
        <v>1290</v>
      </c>
    </row>
    <row r="251" spans="1:4">
      <c r="A251" t="s">
        <v>1276</v>
      </c>
      <c r="B251" t="s">
        <v>1279</v>
      </c>
      <c r="C251" t="s">
        <v>393</v>
      </c>
      <c r="D251" t="s">
        <v>1290</v>
      </c>
    </row>
    <row r="252" spans="1:4">
      <c r="A252" t="s">
        <v>1276</v>
      </c>
      <c r="B252" t="s">
        <v>1283</v>
      </c>
      <c r="C252" t="s">
        <v>393</v>
      </c>
      <c r="D252" t="s">
        <v>1290</v>
      </c>
    </row>
    <row r="253" spans="1:4">
      <c r="A253" t="s">
        <v>1276</v>
      </c>
      <c r="B253" t="s">
        <v>1280</v>
      </c>
      <c r="C253" t="s">
        <v>393</v>
      </c>
      <c r="D253" t="s">
        <v>1290</v>
      </c>
    </row>
    <row r="254" spans="1:4">
      <c r="A254" t="s">
        <v>1276</v>
      </c>
      <c r="B254" t="s">
        <v>1281</v>
      </c>
      <c r="C254" t="s">
        <v>393</v>
      </c>
      <c r="D254" t="s">
        <v>1290</v>
      </c>
    </row>
    <row r="255" spans="1:4">
      <c r="A255" t="s">
        <v>1276</v>
      </c>
      <c r="B255" t="s">
        <v>1282</v>
      </c>
      <c r="C255" t="s">
        <v>393</v>
      </c>
      <c r="D255" t="s">
        <v>1290</v>
      </c>
    </row>
    <row r="256" spans="1:4">
      <c r="A256" t="s">
        <v>1276</v>
      </c>
      <c r="B256" t="s">
        <v>1291</v>
      </c>
      <c r="C256" t="s">
        <v>393</v>
      </c>
      <c r="D256" t="s">
        <v>1290</v>
      </c>
    </row>
    <row r="257" spans="1:4">
      <c r="A257" t="s">
        <v>1276</v>
      </c>
      <c r="B257" t="s">
        <v>1292</v>
      </c>
      <c r="C257" t="s">
        <v>393</v>
      </c>
      <c r="D257" t="s">
        <v>1290</v>
      </c>
    </row>
    <row r="258" spans="1:4">
      <c r="A258" t="s">
        <v>1276</v>
      </c>
      <c r="B258" t="s">
        <v>1284</v>
      </c>
      <c r="C258" t="s">
        <v>393</v>
      </c>
      <c r="D258" t="s">
        <v>1290</v>
      </c>
    </row>
    <row r="259" spans="1:4">
      <c r="A259" t="s">
        <v>1276</v>
      </c>
      <c r="B259" t="s">
        <v>1287</v>
      </c>
      <c r="C259" t="s">
        <v>393</v>
      </c>
      <c r="D259" t="s">
        <v>1290</v>
      </c>
    </row>
    <row r="260" spans="1:4">
      <c r="A260" t="s">
        <v>1276</v>
      </c>
      <c r="B260" t="s">
        <v>1286</v>
      </c>
      <c r="C260" t="s">
        <v>393</v>
      </c>
      <c r="D260" t="s">
        <v>1290</v>
      </c>
    </row>
    <row r="261" spans="1:4">
      <c r="A261" t="s">
        <v>1276</v>
      </c>
      <c r="B261" t="s">
        <v>1288</v>
      </c>
      <c r="C261" t="s">
        <v>393</v>
      </c>
      <c r="D261" t="s">
        <v>1290</v>
      </c>
    </row>
    <row r="262" spans="1:4">
      <c r="A262" t="s">
        <v>1276</v>
      </c>
      <c r="B262" t="s">
        <v>1289</v>
      </c>
      <c r="C262" t="s">
        <v>393</v>
      </c>
      <c r="D262" t="s">
        <v>1290</v>
      </c>
    </row>
    <row r="263" spans="1:4">
      <c r="A263" t="s">
        <v>1276</v>
      </c>
      <c r="B263" t="s">
        <v>1304</v>
      </c>
    </row>
    <row r="264" spans="1:4">
      <c r="A264" t="s">
        <v>1276</v>
      </c>
      <c r="B264" t="s">
        <v>1308</v>
      </c>
      <c r="C264" t="s">
        <v>393</v>
      </c>
      <c r="D264" t="s">
        <v>1309</v>
      </c>
    </row>
    <row r="265" spans="1:4">
      <c r="A265" t="s">
        <v>1313</v>
      </c>
      <c r="B265" t="s">
        <v>1315</v>
      </c>
      <c r="C265" t="s">
        <v>393</v>
      </c>
      <c r="D265" t="s">
        <v>1312</v>
      </c>
    </row>
    <row r="266" spans="1:4">
      <c r="A266" t="s">
        <v>1313</v>
      </c>
      <c r="B266" t="s">
        <v>1314</v>
      </c>
      <c r="C266" t="s">
        <v>393</v>
      </c>
      <c r="D266" t="s">
        <v>1312</v>
      </c>
    </row>
    <row r="267" spans="1:4">
      <c r="A267" t="s">
        <v>1313</v>
      </c>
      <c r="B267" t="s">
        <v>1317</v>
      </c>
      <c r="C267" t="s">
        <v>393</v>
      </c>
      <c r="D267" t="s">
        <v>1312</v>
      </c>
    </row>
    <row r="268" spans="1:4">
      <c r="A268" t="s">
        <v>1313</v>
      </c>
      <c r="B268" t="s">
        <v>1318</v>
      </c>
      <c r="C268" t="s">
        <v>393</v>
      </c>
      <c r="D268" t="s">
        <v>1312</v>
      </c>
    </row>
    <row r="269" spans="1:4">
      <c r="A269" t="s">
        <v>1313</v>
      </c>
      <c r="B269" t="s">
        <v>1319</v>
      </c>
      <c r="C269" t="s">
        <v>393</v>
      </c>
      <c r="D269" t="s">
        <v>1312</v>
      </c>
    </row>
    <row r="270" spans="1:4">
      <c r="A270" t="s">
        <v>1313</v>
      </c>
      <c r="B270" t="s">
        <v>1322</v>
      </c>
      <c r="C270" t="s">
        <v>393</v>
      </c>
      <c r="D270" t="s">
        <v>1312</v>
      </c>
    </row>
    <row r="271" spans="1:4">
      <c r="A271" t="s">
        <v>1313</v>
      </c>
      <c r="B271" t="s">
        <v>1320</v>
      </c>
      <c r="C271" t="s">
        <v>393</v>
      </c>
      <c r="D271" t="s">
        <v>1312</v>
      </c>
    </row>
    <row r="272" spans="1:4">
      <c r="A272" t="s">
        <v>1313</v>
      </c>
      <c r="B272" t="s">
        <v>1321</v>
      </c>
      <c r="C272" t="s">
        <v>393</v>
      </c>
      <c r="D272" t="s">
        <v>1312</v>
      </c>
    </row>
    <row r="273" spans="1:4">
      <c r="A273" t="s">
        <v>1313</v>
      </c>
      <c r="B273" t="s">
        <v>1326</v>
      </c>
      <c r="C273" t="s">
        <v>685</v>
      </c>
      <c r="D273" t="s">
        <v>1327</v>
      </c>
    </row>
    <row r="274" spans="1:4">
      <c r="A274" t="s">
        <v>1313</v>
      </c>
      <c r="B274" t="s">
        <v>1332</v>
      </c>
      <c r="C274" t="s">
        <v>685</v>
      </c>
      <c r="D274" t="s">
        <v>1327</v>
      </c>
    </row>
    <row r="275" spans="1:4">
      <c r="A275" t="s">
        <v>1313</v>
      </c>
      <c r="B275" t="s">
        <v>1333</v>
      </c>
      <c r="C275" t="s">
        <v>685</v>
      </c>
      <c r="D275" t="s">
        <v>1327</v>
      </c>
    </row>
    <row r="276" spans="1:4">
      <c r="A276" t="s">
        <v>1313</v>
      </c>
      <c r="B276" t="s">
        <v>1334</v>
      </c>
      <c r="C276" t="s">
        <v>685</v>
      </c>
      <c r="D276" t="s">
        <v>1327</v>
      </c>
    </row>
    <row r="277" spans="1:4">
      <c r="A277" t="s">
        <v>1313</v>
      </c>
      <c r="B277" t="s">
        <v>1335</v>
      </c>
      <c r="C277" t="s">
        <v>685</v>
      </c>
      <c r="D277" t="s">
        <v>1336</v>
      </c>
    </row>
    <row r="278" spans="1:4">
      <c r="A278" t="s">
        <v>1313</v>
      </c>
      <c r="B278" t="s">
        <v>1337</v>
      </c>
      <c r="C278" t="s">
        <v>685</v>
      </c>
      <c r="D278" t="s">
        <v>1336</v>
      </c>
    </row>
    <row r="279" spans="1:4">
      <c r="A279" t="s">
        <v>1313</v>
      </c>
      <c r="B279" t="s">
        <v>1344</v>
      </c>
      <c r="C279" t="s">
        <v>685</v>
      </c>
      <c r="D279" t="s">
        <v>1343</v>
      </c>
    </row>
    <row r="280" spans="1:4">
      <c r="A280" t="s">
        <v>1345</v>
      </c>
      <c r="B280" t="s">
        <v>1346</v>
      </c>
      <c r="C280" t="s">
        <v>685</v>
      </c>
      <c r="D280" t="s">
        <v>1348</v>
      </c>
    </row>
    <row r="281" spans="1:4">
      <c r="A281" t="s">
        <v>1345</v>
      </c>
      <c r="B281" t="s">
        <v>1347</v>
      </c>
      <c r="C281" t="s">
        <v>685</v>
      </c>
      <c r="D281" t="s">
        <v>1348</v>
      </c>
    </row>
    <row r="282" spans="1:4">
      <c r="A282" t="s">
        <v>1345</v>
      </c>
      <c r="B282" t="s">
        <v>1349</v>
      </c>
      <c r="C282" t="s">
        <v>685</v>
      </c>
      <c r="D282" t="s">
        <v>1348</v>
      </c>
    </row>
    <row r="283" spans="1:4">
      <c r="A283" t="s">
        <v>1345</v>
      </c>
      <c r="B283" t="s">
        <v>1352</v>
      </c>
      <c r="C283" t="s">
        <v>685</v>
      </c>
      <c r="D283" t="s">
        <v>1351</v>
      </c>
    </row>
    <row r="284" spans="1:4">
      <c r="A284" t="s">
        <v>1345</v>
      </c>
      <c r="B284" t="s">
        <v>1354</v>
      </c>
      <c r="C284" t="s">
        <v>393</v>
      </c>
      <c r="D284" t="s">
        <v>1353</v>
      </c>
    </row>
    <row r="285" spans="1:4">
      <c r="A285" t="s">
        <v>1345</v>
      </c>
      <c r="B285" t="s">
        <v>1355</v>
      </c>
      <c r="C285" t="s">
        <v>393</v>
      </c>
      <c r="D285" t="s">
        <v>1353</v>
      </c>
    </row>
    <row r="286" spans="1:4">
      <c r="A286" t="s">
        <v>1358</v>
      </c>
      <c r="B286" t="s">
        <v>1359</v>
      </c>
      <c r="C286" t="s">
        <v>393</v>
      </c>
      <c r="D286" t="s">
        <v>1361</v>
      </c>
    </row>
    <row r="287" spans="1:4">
      <c r="B287" t="s">
        <v>1360</v>
      </c>
    </row>
    <row r="288" spans="1:4">
      <c r="B288" t="s">
        <v>1362</v>
      </c>
    </row>
    <row r="289" spans="1:4">
      <c r="B289" t="s">
        <v>1363</v>
      </c>
    </row>
    <row r="290" spans="1:4">
      <c r="B290" t="s">
        <v>1364</v>
      </c>
    </row>
    <row r="291" spans="1:4">
      <c r="A291" t="s">
        <v>1366</v>
      </c>
      <c r="B291" t="s">
        <v>1367</v>
      </c>
      <c r="C291" t="s">
        <v>685</v>
      </c>
      <c r="D291" t="s">
        <v>1368</v>
      </c>
    </row>
    <row r="292" spans="1:4">
      <c r="A292" t="s">
        <v>1369</v>
      </c>
      <c r="B292" t="s">
        <v>1370</v>
      </c>
      <c r="C292" t="s">
        <v>393</v>
      </c>
      <c r="D292" t="s">
        <v>1371</v>
      </c>
    </row>
    <row r="293" spans="1:4">
      <c r="A293" t="s">
        <v>1369</v>
      </c>
      <c r="B293" t="s">
        <v>1373</v>
      </c>
      <c r="C293" t="s">
        <v>393</v>
      </c>
      <c r="D293" t="s">
        <v>1372</v>
      </c>
    </row>
    <row r="294" spans="1:4">
      <c r="A294" t="s">
        <v>1369</v>
      </c>
      <c r="B294" t="s">
        <v>1374</v>
      </c>
      <c r="C294" t="s">
        <v>393</v>
      </c>
      <c r="D294" t="s">
        <v>1372</v>
      </c>
    </row>
    <row r="295" spans="1:4">
      <c r="A295" t="s">
        <v>1376</v>
      </c>
      <c r="B295" t="s">
        <v>1377</v>
      </c>
      <c r="C295" t="s">
        <v>393</v>
      </c>
      <c r="D295" t="s">
        <v>1380</v>
      </c>
    </row>
    <row r="296" spans="1:4">
      <c r="A296" t="s">
        <v>1378</v>
      </c>
      <c r="B296" t="s">
        <v>1379</v>
      </c>
      <c r="C296" t="s">
        <v>393</v>
      </c>
      <c r="D296" t="s">
        <v>1380</v>
      </c>
    </row>
    <row r="297" spans="1:4">
      <c r="A297" t="s">
        <v>1378</v>
      </c>
      <c r="B297" t="s">
        <v>1382</v>
      </c>
      <c r="C297" t="s">
        <v>393</v>
      </c>
      <c r="D297" t="s">
        <v>1380</v>
      </c>
    </row>
    <row r="298" spans="1:4">
      <c r="A298" t="s">
        <v>1378</v>
      </c>
      <c r="B298" t="s">
        <v>1385</v>
      </c>
      <c r="C298" t="s">
        <v>393</v>
      </c>
      <c r="D298" t="s">
        <v>1380</v>
      </c>
    </row>
    <row r="299" spans="1:4">
      <c r="A299" t="s">
        <v>1378</v>
      </c>
      <c r="B299" t="s">
        <v>1383</v>
      </c>
      <c r="C299" t="s">
        <v>393</v>
      </c>
      <c r="D299" t="s">
        <v>1384</v>
      </c>
    </row>
    <row r="300" spans="1:4">
      <c r="A300" t="s">
        <v>1386</v>
      </c>
      <c r="B300" t="s">
        <v>1387</v>
      </c>
      <c r="C300" t="s">
        <v>393</v>
      </c>
      <c r="D300" t="s">
        <v>1396</v>
      </c>
    </row>
    <row r="301" spans="1:4">
      <c r="A301" t="s">
        <v>1386</v>
      </c>
      <c r="B301" t="s">
        <v>1388</v>
      </c>
      <c r="C301" t="s">
        <v>393</v>
      </c>
      <c r="D301" t="s">
        <v>1390</v>
      </c>
    </row>
    <row r="302" spans="1:4">
      <c r="A302" t="s">
        <v>1386</v>
      </c>
      <c r="B302" t="s">
        <v>1389</v>
      </c>
      <c r="C302" t="s">
        <v>393</v>
      </c>
      <c r="D302" t="s">
        <v>1390</v>
      </c>
    </row>
    <row r="304" spans="1:4">
      <c r="A304" t="s">
        <v>1386</v>
      </c>
      <c r="B304" t="s">
        <v>1391</v>
      </c>
      <c r="C304" t="s">
        <v>685</v>
      </c>
      <c r="D304" t="s">
        <v>1392</v>
      </c>
    </row>
    <row r="306" spans="1:4">
      <c r="A306" t="s">
        <v>1393</v>
      </c>
      <c r="B306" t="s">
        <v>1394</v>
      </c>
      <c r="C306" t="s">
        <v>393</v>
      </c>
      <c r="D306" t="s">
        <v>1395</v>
      </c>
    </row>
    <row r="307" spans="1:4">
      <c r="A307" t="s">
        <v>1393</v>
      </c>
      <c r="B307" t="s">
        <v>1398</v>
      </c>
      <c r="C307" t="s">
        <v>393</v>
      </c>
      <c r="D307" t="s">
        <v>1397</v>
      </c>
    </row>
    <row r="308" spans="1:4">
      <c r="A308" t="s">
        <v>1393</v>
      </c>
      <c r="B308" t="s">
        <v>1399</v>
      </c>
      <c r="C308" t="s">
        <v>393</v>
      </c>
      <c r="D308" t="s">
        <v>1397</v>
      </c>
    </row>
    <row r="309" spans="1:4">
      <c r="A309" t="s">
        <v>1393</v>
      </c>
      <c r="B309" t="s">
        <v>1405</v>
      </c>
      <c r="C309" t="s">
        <v>393</v>
      </c>
      <c r="D309" t="s">
        <v>1397</v>
      </c>
    </row>
    <row r="310" spans="1:4">
      <c r="A310" t="s">
        <v>1393</v>
      </c>
      <c r="B310" t="s">
        <v>1400</v>
      </c>
      <c r="C310" t="s">
        <v>393</v>
      </c>
      <c r="D310" t="s">
        <v>1397</v>
      </c>
    </row>
    <row r="311" spans="1:4">
      <c r="A311" t="s">
        <v>1393</v>
      </c>
      <c r="B311" t="s">
        <v>1402</v>
      </c>
      <c r="C311" t="s">
        <v>393</v>
      </c>
      <c r="D311" t="s">
        <v>1397</v>
      </c>
    </row>
    <row r="312" spans="1:4">
      <c r="A312" t="s">
        <v>1393</v>
      </c>
      <c r="B312" t="s">
        <v>1401</v>
      </c>
      <c r="C312" t="s">
        <v>393</v>
      </c>
      <c r="D312" t="s">
        <v>1397</v>
      </c>
    </row>
    <row r="313" spans="1:4">
      <c r="A313" t="s">
        <v>1393</v>
      </c>
      <c r="B313" t="s">
        <v>1403</v>
      </c>
      <c r="C313" t="s">
        <v>393</v>
      </c>
      <c r="D313" t="s">
        <v>1397</v>
      </c>
    </row>
    <row r="314" spans="1:4">
      <c r="A314" t="s">
        <v>1393</v>
      </c>
      <c r="B314" t="s">
        <v>1404</v>
      </c>
      <c r="C314" t="s">
        <v>393</v>
      </c>
      <c r="D314" t="s">
        <v>1397</v>
      </c>
    </row>
    <row r="315" spans="1:4">
      <c r="A315" t="s">
        <v>1414</v>
      </c>
      <c r="B315" t="s">
        <v>1406</v>
      </c>
      <c r="C315" t="s">
        <v>393</v>
      </c>
      <c r="D315" t="s">
        <v>1415</v>
      </c>
    </row>
    <row r="316" spans="1:4">
      <c r="A316" t="s">
        <v>1414</v>
      </c>
      <c r="B316" t="s">
        <v>1407</v>
      </c>
      <c r="C316" t="s">
        <v>393</v>
      </c>
      <c r="D316" t="s">
        <v>1415</v>
      </c>
    </row>
    <row r="317" spans="1:4">
      <c r="A317" t="s">
        <v>1414</v>
      </c>
      <c r="B317" t="s">
        <v>1408</v>
      </c>
      <c r="C317" t="s">
        <v>393</v>
      </c>
      <c r="D317" t="s">
        <v>1415</v>
      </c>
    </row>
    <row r="318" spans="1:4">
      <c r="A318" t="s">
        <v>1414</v>
      </c>
      <c r="B318" t="s">
        <v>1409</v>
      </c>
      <c r="C318" t="s">
        <v>393</v>
      </c>
      <c r="D318" t="s">
        <v>1415</v>
      </c>
    </row>
    <row r="319" spans="1:4">
      <c r="A319" t="s">
        <v>1414</v>
      </c>
      <c r="B319" t="s">
        <v>1410</v>
      </c>
      <c r="C319" t="s">
        <v>393</v>
      </c>
      <c r="D319" t="s">
        <v>1415</v>
      </c>
    </row>
    <row r="320" spans="1:4">
      <c r="A320" t="s">
        <v>1414</v>
      </c>
      <c r="B320" t="s">
        <v>1411</v>
      </c>
      <c r="C320" t="s">
        <v>393</v>
      </c>
      <c r="D320" t="s">
        <v>1415</v>
      </c>
    </row>
    <row r="321" spans="1:4">
      <c r="A321" t="s">
        <v>1414</v>
      </c>
      <c r="B321" t="s">
        <v>1412</v>
      </c>
      <c r="C321" t="s">
        <v>393</v>
      </c>
      <c r="D321" t="s">
        <v>1415</v>
      </c>
    </row>
    <row r="322" spans="1:4">
      <c r="A322" t="s">
        <v>1414</v>
      </c>
      <c r="B322" t="s">
        <v>1413</v>
      </c>
      <c r="C322" t="s">
        <v>393</v>
      </c>
      <c r="D322" t="s">
        <v>1415</v>
      </c>
    </row>
    <row r="323" spans="1:4">
      <c r="A323" t="s">
        <v>1414</v>
      </c>
      <c r="B323" t="s">
        <v>1416</v>
      </c>
      <c r="C323" t="s">
        <v>393</v>
      </c>
      <c r="D323" t="s">
        <v>1415</v>
      </c>
    </row>
    <row r="324" spans="1:4">
      <c r="A324" t="s">
        <v>1414</v>
      </c>
      <c r="B324" t="s">
        <v>1417</v>
      </c>
      <c r="C324" t="s">
        <v>393</v>
      </c>
      <c r="D324" t="s">
        <v>1415</v>
      </c>
    </row>
    <row r="325" spans="1:4">
      <c r="A325" t="s">
        <v>1421</v>
      </c>
      <c r="B325" t="s">
        <v>1422</v>
      </c>
      <c r="C325" t="s">
        <v>393</v>
      </c>
      <c r="D325" t="s">
        <v>1420</v>
      </c>
    </row>
    <row r="326" spans="1:4">
      <c r="A326" t="s">
        <v>1421</v>
      </c>
      <c r="B326" t="s">
        <v>1423</v>
      </c>
      <c r="C326" t="s">
        <v>393</v>
      </c>
      <c r="D326" t="s">
        <v>1420</v>
      </c>
    </row>
    <row r="327" spans="1:4">
      <c r="A327" t="s">
        <v>1421</v>
      </c>
      <c r="B327" t="s">
        <v>1424</v>
      </c>
      <c r="C327" t="s">
        <v>393</v>
      </c>
      <c r="D327" t="s">
        <v>1420</v>
      </c>
    </row>
    <row r="328" spans="1:4">
      <c r="A328" t="s">
        <v>1421</v>
      </c>
      <c r="B328" t="s">
        <v>1425</v>
      </c>
      <c r="C328" t="s">
        <v>393</v>
      </c>
      <c r="D328" t="s">
        <v>1420</v>
      </c>
    </row>
    <row r="329" spans="1:4">
      <c r="A329" t="s">
        <v>1421</v>
      </c>
      <c r="B329" t="s">
        <v>1426</v>
      </c>
      <c r="C329" t="s">
        <v>393</v>
      </c>
      <c r="D329" t="s">
        <v>1420</v>
      </c>
    </row>
    <row r="330" spans="1:4">
      <c r="A330" t="s">
        <v>1421</v>
      </c>
      <c r="B330" t="s">
        <v>1427</v>
      </c>
      <c r="C330" t="s">
        <v>393</v>
      </c>
      <c r="D330" t="s">
        <v>1420</v>
      </c>
    </row>
    <row r="331" spans="1:4">
      <c r="A331" t="s">
        <v>1421</v>
      </c>
      <c r="B331" t="s">
        <v>1428</v>
      </c>
      <c r="C331" t="s">
        <v>393</v>
      </c>
      <c r="D331" t="s">
        <v>1420</v>
      </c>
    </row>
    <row r="332" spans="1:4">
      <c r="A332" t="s">
        <v>1421</v>
      </c>
      <c r="B332" t="s">
        <v>1429</v>
      </c>
      <c r="C332" t="s">
        <v>393</v>
      </c>
      <c r="D332" t="s">
        <v>1420</v>
      </c>
    </row>
    <row r="333" spans="1:4">
      <c r="A333" t="s">
        <v>1434</v>
      </c>
      <c r="B333" t="s">
        <v>1450</v>
      </c>
    </row>
    <row r="334" spans="1:4">
      <c r="A334" t="s">
        <v>1434</v>
      </c>
      <c r="B334" t="s">
        <v>1430</v>
      </c>
      <c r="C334" t="s">
        <v>393</v>
      </c>
      <c r="D334" t="s">
        <v>1435</v>
      </c>
    </row>
    <row r="335" spans="1:4">
      <c r="A335" t="s">
        <v>1434</v>
      </c>
      <c r="B335" t="s">
        <v>1436</v>
      </c>
      <c r="C335" t="s">
        <v>393</v>
      </c>
      <c r="D335" t="s">
        <v>1439</v>
      </c>
    </row>
    <row r="336" spans="1:4">
      <c r="A336" t="s">
        <v>1434</v>
      </c>
      <c r="B336" t="s">
        <v>1437</v>
      </c>
      <c r="C336" t="s">
        <v>393</v>
      </c>
      <c r="D336" t="s">
        <v>1439</v>
      </c>
    </row>
    <row r="337" spans="1:4">
      <c r="A337" t="s">
        <v>1434</v>
      </c>
      <c r="B337" t="s">
        <v>1438</v>
      </c>
      <c r="C337" t="s">
        <v>393</v>
      </c>
      <c r="D337" t="s">
        <v>1439</v>
      </c>
    </row>
    <row r="338" spans="1:4">
      <c r="A338" t="s">
        <v>1434</v>
      </c>
      <c r="B338" t="s">
        <v>1440</v>
      </c>
      <c r="C338" t="s">
        <v>393</v>
      </c>
      <c r="D338" t="s">
        <v>1439</v>
      </c>
    </row>
    <row r="339" spans="1:4">
      <c r="A339" t="s">
        <v>1441</v>
      </c>
      <c r="B339" t="s">
        <v>1449</v>
      </c>
      <c r="C339" t="s">
        <v>685</v>
      </c>
      <c r="D339" t="s">
        <v>1442</v>
      </c>
    </row>
    <row r="340" spans="1:4">
      <c r="A340" t="s">
        <v>1441</v>
      </c>
      <c r="B340" t="s">
        <v>1443</v>
      </c>
      <c r="C340" t="s">
        <v>685</v>
      </c>
      <c r="D340" t="s">
        <v>1442</v>
      </c>
    </row>
    <row r="341" spans="1:4">
      <c r="A341" t="s">
        <v>1441</v>
      </c>
      <c r="B341" t="s">
        <v>1444</v>
      </c>
      <c r="C341" t="s">
        <v>685</v>
      </c>
      <c r="D341" t="s">
        <v>1442</v>
      </c>
    </row>
    <row r="342" spans="1:4">
      <c r="A342" t="s">
        <v>1441</v>
      </c>
      <c r="B342" t="s">
        <v>1446</v>
      </c>
      <c r="C342" t="s">
        <v>685</v>
      </c>
      <c r="D342" t="s">
        <v>1442</v>
      </c>
    </row>
    <row r="343" spans="1:4">
      <c r="A343" t="s">
        <v>1441</v>
      </c>
      <c r="B343" t="s">
        <v>1447</v>
      </c>
      <c r="C343" t="s">
        <v>685</v>
      </c>
      <c r="D343" t="s">
        <v>1442</v>
      </c>
    </row>
    <row r="344" spans="1:4" ht="29">
      <c r="A344" t="s">
        <v>1441</v>
      </c>
      <c r="B344" s="436" t="s">
        <v>1445</v>
      </c>
      <c r="C344" t="s">
        <v>685</v>
      </c>
      <c r="D344" t="s">
        <v>1442</v>
      </c>
    </row>
    <row r="345" spans="1:4">
      <c r="A345" t="s">
        <v>1441</v>
      </c>
      <c r="B345" t="s">
        <v>1448</v>
      </c>
      <c r="C345" t="s">
        <v>685</v>
      </c>
      <c r="D345" t="s">
        <v>1442</v>
      </c>
    </row>
    <row r="346" spans="1:4">
      <c r="A346" t="s">
        <v>1441</v>
      </c>
      <c r="B346" t="s">
        <v>1451</v>
      </c>
      <c r="C346" t="s">
        <v>685</v>
      </c>
      <c r="D346" t="s">
        <v>1442</v>
      </c>
    </row>
    <row r="347" spans="1:4">
      <c r="A347" t="s">
        <v>1441</v>
      </c>
      <c r="B347" t="s">
        <v>1453</v>
      </c>
      <c r="C347" t="s">
        <v>685</v>
      </c>
      <c r="D347" t="s">
        <v>1442</v>
      </c>
    </row>
    <row r="348" spans="1:4">
      <c r="A348" t="s">
        <v>1441</v>
      </c>
      <c r="B348" t="s">
        <v>1454</v>
      </c>
      <c r="C348" t="s">
        <v>685</v>
      </c>
      <c r="D348" t="s">
        <v>1442</v>
      </c>
    </row>
    <row r="349" spans="1:4">
      <c r="A349" t="s">
        <v>1456</v>
      </c>
      <c r="B349" t="s">
        <v>1457</v>
      </c>
      <c r="C349" t="s">
        <v>685</v>
      </c>
      <c r="D349" t="s">
        <v>1458</v>
      </c>
    </row>
    <row r="351" spans="1:4">
      <c r="A351" t="s">
        <v>1460</v>
      </c>
      <c r="B351" t="s">
        <v>1461</v>
      </c>
      <c r="C351" t="s">
        <v>393</v>
      </c>
      <c r="D351" t="s">
        <v>1462</v>
      </c>
    </row>
    <row r="352" spans="1:4">
      <c r="A352" t="s">
        <v>1460</v>
      </c>
      <c r="B352" t="s">
        <v>1463</v>
      </c>
      <c r="C352" t="s">
        <v>393</v>
      </c>
      <c r="D352" t="s">
        <v>1462</v>
      </c>
    </row>
    <row r="353" spans="1:4">
      <c r="A353" t="s">
        <v>1460</v>
      </c>
      <c r="B353" t="s">
        <v>1464</v>
      </c>
      <c r="C353" t="s">
        <v>393</v>
      </c>
      <c r="D353" t="s">
        <v>1462</v>
      </c>
    </row>
    <row r="354" spans="1:4">
      <c r="A354" t="s">
        <v>1460</v>
      </c>
      <c r="B354" t="s">
        <v>1465</v>
      </c>
      <c r="C354" t="s">
        <v>393</v>
      </c>
      <c r="D354" t="s">
        <v>1462</v>
      </c>
    </row>
    <row r="355" spans="1:4">
      <c r="A355" t="s">
        <v>1460</v>
      </c>
      <c r="B355" t="s">
        <v>1468</v>
      </c>
      <c r="C355" t="s">
        <v>393</v>
      </c>
      <c r="D355" t="s">
        <v>1462</v>
      </c>
    </row>
    <row r="356" spans="1:4">
      <c r="A356" t="s">
        <v>1460</v>
      </c>
      <c r="B356" t="s">
        <v>1466</v>
      </c>
      <c r="C356" t="s">
        <v>393</v>
      </c>
      <c r="D356" t="s">
        <v>1462</v>
      </c>
    </row>
    <row r="357" spans="1:4">
      <c r="A357" t="s">
        <v>1460</v>
      </c>
      <c r="B357" t="s">
        <v>1467</v>
      </c>
      <c r="C357" t="s">
        <v>393</v>
      </c>
      <c r="D357" t="s">
        <v>1462</v>
      </c>
    </row>
    <row r="358" spans="1:4">
      <c r="A358" t="s">
        <v>1460</v>
      </c>
      <c r="B358" t="s">
        <v>1469</v>
      </c>
      <c r="C358" t="s">
        <v>393</v>
      </c>
      <c r="D358" t="s">
        <v>1462</v>
      </c>
    </row>
    <row r="359" spans="1:4">
      <c r="A359" t="s">
        <v>1471</v>
      </c>
      <c r="B359" t="s">
        <v>1472</v>
      </c>
      <c r="C359" t="s">
        <v>393</v>
      </c>
      <c r="D359" t="s">
        <v>1473</v>
      </c>
    </row>
    <row r="360" spans="1:4">
      <c r="A360" t="s">
        <v>1471</v>
      </c>
      <c r="B360" t="s">
        <v>1474</v>
      </c>
      <c r="C360" t="s">
        <v>393</v>
      </c>
      <c r="D360" t="s">
        <v>1473</v>
      </c>
    </row>
    <row r="361" spans="1:4">
      <c r="A361" t="s">
        <v>1471</v>
      </c>
      <c r="B361" t="s">
        <v>1475</v>
      </c>
      <c r="C361" t="s">
        <v>393</v>
      </c>
      <c r="D361" t="s">
        <v>1473</v>
      </c>
    </row>
    <row r="362" spans="1:4">
      <c r="A362" t="s">
        <v>1471</v>
      </c>
      <c r="B362" t="s">
        <v>1477</v>
      </c>
      <c r="C362" t="s">
        <v>393</v>
      </c>
      <c r="D362" t="s">
        <v>1473</v>
      </c>
    </row>
    <row r="363" spans="1:4">
      <c r="A363" t="s">
        <v>1478</v>
      </c>
      <c r="B363" t="s">
        <v>1479</v>
      </c>
      <c r="C363" t="s">
        <v>685</v>
      </c>
      <c r="D363" t="s">
        <v>1480</v>
      </c>
    </row>
    <row r="364" spans="1:4">
      <c r="A364" t="s">
        <v>1481</v>
      </c>
      <c r="B364" t="s">
        <v>1482</v>
      </c>
      <c r="C364" t="s">
        <v>393</v>
      </c>
      <c r="D364" t="s">
        <v>1483</v>
      </c>
    </row>
    <row r="365" spans="1:4">
      <c r="A365" t="s">
        <v>1481</v>
      </c>
      <c r="B365" t="s">
        <v>1484</v>
      </c>
      <c r="C365" t="s">
        <v>393</v>
      </c>
      <c r="D365" t="s">
        <v>1483</v>
      </c>
    </row>
    <row r="366" spans="1:4">
      <c r="A366" t="s">
        <v>1481</v>
      </c>
      <c r="B366" t="s">
        <v>1488</v>
      </c>
      <c r="C366" t="s">
        <v>393</v>
      </c>
      <c r="D366" t="s">
        <v>1483</v>
      </c>
    </row>
    <row r="367" spans="1:4">
      <c r="A367" t="s">
        <v>1481</v>
      </c>
      <c r="B367" t="s">
        <v>1489</v>
      </c>
      <c r="C367" t="s">
        <v>393</v>
      </c>
      <c r="D367" t="s">
        <v>1483</v>
      </c>
    </row>
    <row r="368" spans="1:4">
      <c r="A368" t="s">
        <v>1481</v>
      </c>
      <c r="B368" t="s">
        <v>1495</v>
      </c>
      <c r="C368" t="s">
        <v>393</v>
      </c>
      <c r="D368" t="s">
        <v>1483</v>
      </c>
    </row>
    <row r="369" spans="1:4">
      <c r="A369" t="s">
        <v>1481</v>
      </c>
      <c r="B369" t="s">
        <v>1496</v>
      </c>
      <c r="C369" t="s">
        <v>393</v>
      </c>
      <c r="D369" t="s">
        <v>1483</v>
      </c>
    </row>
    <row r="370" spans="1:4">
      <c r="A370" t="s">
        <v>1481</v>
      </c>
      <c r="B370" t="s">
        <v>1497</v>
      </c>
      <c r="C370" t="s">
        <v>393</v>
      </c>
      <c r="D370" t="s">
        <v>1483</v>
      </c>
    </row>
    <row r="371" spans="1:4">
      <c r="A371" t="s">
        <v>1481</v>
      </c>
      <c r="B371" t="s">
        <v>1498</v>
      </c>
      <c r="C371" t="s">
        <v>393</v>
      </c>
      <c r="D371" t="s">
        <v>1483</v>
      </c>
    </row>
    <row r="372" spans="1:4">
      <c r="A372" t="s">
        <v>1481</v>
      </c>
      <c r="B372" t="s">
        <v>1499</v>
      </c>
      <c r="C372" t="s">
        <v>393</v>
      </c>
      <c r="D372" t="s">
        <v>1483</v>
      </c>
    </row>
    <row r="373" spans="1:4">
      <c r="A373" t="s">
        <v>1481</v>
      </c>
      <c r="B373" t="s">
        <v>1500</v>
      </c>
      <c r="C373" t="s">
        <v>393</v>
      </c>
      <c r="D373" t="s">
        <v>1483</v>
      </c>
    </row>
    <row r="374" spans="1:4">
      <c r="A374" t="s">
        <v>1501</v>
      </c>
      <c r="B374" t="s">
        <v>1502</v>
      </c>
      <c r="C374" t="s">
        <v>393</v>
      </c>
      <c r="D374" t="s">
        <v>1508</v>
      </c>
    </row>
    <row r="375" spans="1:4">
      <c r="A375" t="s">
        <v>1501</v>
      </c>
      <c r="B375" t="s">
        <v>1503</v>
      </c>
      <c r="C375" t="s">
        <v>393</v>
      </c>
      <c r="D375" t="s">
        <v>1508</v>
      </c>
    </row>
    <row r="376" spans="1:4">
      <c r="A376" t="s">
        <v>1501</v>
      </c>
      <c r="B376" t="s">
        <v>1504</v>
      </c>
      <c r="C376" t="s">
        <v>393</v>
      </c>
      <c r="D376" t="s">
        <v>1508</v>
      </c>
    </row>
    <row r="377" spans="1:4">
      <c r="A377" t="s">
        <v>1501</v>
      </c>
      <c r="B377" t="s">
        <v>1505</v>
      </c>
      <c r="C377" t="s">
        <v>393</v>
      </c>
      <c r="D377" t="s">
        <v>1508</v>
      </c>
    </row>
    <row r="378" spans="1:4">
      <c r="A378" t="s">
        <v>1501</v>
      </c>
      <c r="B378" t="s">
        <v>1506</v>
      </c>
      <c r="C378" t="s">
        <v>393</v>
      </c>
      <c r="D378" t="s">
        <v>1508</v>
      </c>
    </row>
    <row r="379" spans="1:4">
      <c r="A379" t="s">
        <v>1501</v>
      </c>
      <c r="B379" t="s">
        <v>1507</v>
      </c>
      <c r="C379" t="s">
        <v>393</v>
      </c>
      <c r="D379" t="s">
        <v>1508</v>
      </c>
    </row>
    <row r="380" spans="1:4">
      <c r="A380" t="s">
        <v>1509</v>
      </c>
      <c r="B380" t="s">
        <v>1510</v>
      </c>
      <c r="C380" t="s">
        <v>393</v>
      </c>
      <c r="D380" t="s">
        <v>1511</v>
      </c>
    </row>
    <row r="381" spans="1:4">
      <c r="A381" t="s">
        <v>1512</v>
      </c>
      <c r="B381" t="s">
        <v>1513</v>
      </c>
      <c r="C381" t="s">
        <v>393</v>
      </c>
      <c r="D381" t="s">
        <v>1511</v>
      </c>
    </row>
    <row r="382" spans="1:4">
      <c r="A382" t="s">
        <v>1518</v>
      </c>
      <c r="B382" t="s">
        <v>1520</v>
      </c>
      <c r="C382" t="s">
        <v>393</v>
      </c>
      <c r="D382" t="s">
        <v>1519</v>
      </c>
    </row>
    <row r="383" spans="1:4">
      <c r="A383" t="s">
        <v>1518</v>
      </c>
      <c r="B383" t="s">
        <v>1521</v>
      </c>
      <c r="C383" t="s">
        <v>393</v>
      </c>
      <c r="D383" t="s">
        <v>1519</v>
      </c>
    </row>
    <row r="384" spans="1:4">
      <c r="A384" t="s">
        <v>1522</v>
      </c>
      <c r="B384" t="s">
        <v>1523</v>
      </c>
      <c r="C384" t="s">
        <v>393</v>
      </c>
      <c r="D384" t="s">
        <v>1524</v>
      </c>
    </row>
    <row r="385" spans="1:4">
      <c r="A385" t="s">
        <v>1522</v>
      </c>
      <c r="B385" t="s">
        <v>1525</v>
      </c>
      <c r="C385" t="s">
        <v>393</v>
      </c>
      <c r="D385" t="s">
        <v>1524</v>
      </c>
    </row>
    <row r="386" spans="1:4">
      <c r="A386" t="s">
        <v>1526</v>
      </c>
      <c r="B386" t="s">
        <v>1528</v>
      </c>
      <c r="C386" t="s">
        <v>393</v>
      </c>
      <c r="D386" t="s">
        <v>1527</v>
      </c>
    </row>
    <row r="387" spans="1:4">
      <c r="A387" t="s">
        <v>1526</v>
      </c>
      <c r="B387" t="s">
        <v>1529</v>
      </c>
      <c r="C387" t="s">
        <v>393</v>
      </c>
      <c r="D387" t="s">
        <v>1527</v>
      </c>
    </row>
    <row r="388" spans="1:4">
      <c r="A388" t="s">
        <v>1530</v>
      </c>
      <c r="B388" t="s">
        <v>1532</v>
      </c>
      <c r="C388" t="s">
        <v>393</v>
      </c>
      <c r="D388" t="s">
        <v>1531</v>
      </c>
    </row>
    <row r="389" spans="1:4">
      <c r="A389" t="s">
        <v>1533</v>
      </c>
      <c r="B389" t="s">
        <v>1534</v>
      </c>
      <c r="C389" t="s">
        <v>393</v>
      </c>
      <c r="D389" t="s">
        <v>1535</v>
      </c>
    </row>
    <row r="390" spans="1:4">
      <c r="A390" t="s">
        <v>1536</v>
      </c>
      <c r="B390" t="s">
        <v>1537</v>
      </c>
      <c r="C390" t="s">
        <v>393</v>
      </c>
      <c r="D390" t="s">
        <v>1538</v>
      </c>
    </row>
    <row r="391" spans="1:4">
      <c r="A391" t="s">
        <v>1536</v>
      </c>
      <c r="B391" t="s">
        <v>1539</v>
      </c>
      <c r="C391" t="s">
        <v>393</v>
      </c>
      <c r="D391" t="s">
        <v>1538</v>
      </c>
    </row>
    <row r="392" spans="1:4">
      <c r="A392" t="s">
        <v>1536</v>
      </c>
      <c r="B392" t="s">
        <v>1540</v>
      </c>
      <c r="C392" t="s">
        <v>393</v>
      </c>
      <c r="D392" t="s">
        <v>1538</v>
      </c>
    </row>
    <row r="393" spans="1:4">
      <c r="A393" t="s">
        <v>1536</v>
      </c>
      <c r="B393" t="s">
        <v>1541</v>
      </c>
    </row>
    <row r="394" spans="1:4">
      <c r="A394" t="s">
        <v>1542</v>
      </c>
      <c r="B394" t="s">
        <v>1543</v>
      </c>
      <c r="C394" t="s">
        <v>393</v>
      </c>
      <c r="D394" t="s">
        <v>1544</v>
      </c>
    </row>
    <row r="395" spans="1:4">
      <c r="A395" t="s">
        <v>1542</v>
      </c>
      <c r="B395" t="s">
        <v>1545</v>
      </c>
      <c r="C395" t="s">
        <v>393</v>
      </c>
      <c r="D395" t="s">
        <v>1544</v>
      </c>
    </row>
    <row r="396" spans="1:4">
      <c r="A396" t="s">
        <v>1542</v>
      </c>
      <c r="B396" t="s">
        <v>1546</v>
      </c>
      <c r="C396" t="s">
        <v>393</v>
      </c>
      <c r="D396" t="s">
        <v>1544</v>
      </c>
    </row>
    <row r="397" spans="1:4">
      <c r="A397" t="s">
        <v>1547</v>
      </c>
      <c r="B397" t="s">
        <v>1548</v>
      </c>
      <c r="C397" t="s">
        <v>393</v>
      </c>
      <c r="D397" t="s">
        <v>1549</v>
      </c>
    </row>
    <row r="398" spans="1:4">
      <c r="A398" t="s">
        <v>1550</v>
      </c>
      <c r="B398" t="s">
        <v>1552</v>
      </c>
      <c r="C398" t="s">
        <v>393</v>
      </c>
      <c r="D398" t="s">
        <v>1551</v>
      </c>
    </row>
    <row r="399" spans="1:4">
      <c r="A399" t="s">
        <v>1550</v>
      </c>
      <c r="B399" t="s">
        <v>1553</v>
      </c>
      <c r="C399" t="s">
        <v>393</v>
      </c>
      <c r="D399" t="s">
        <v>1551</v>
      </c>
    </row>
    <row r="400" spans="1:4">
      <c r="A400" t="s">
        <v>1550</v>
      </c>
      <c r="B400" t="s">
        <v>1554</v>
      </c>
      <c r="C400" t="s">
        <v>393</v>
      </c>
      <c r="D400" t="s">
        <v>1551</v>
      </c>
    </row>
    <row r="401" spans="1:4">
      <c r="A401" t="s">
        <v>1550</v>
      </c>
      <c r="B401" t="s">
        <v>1555</v>
      </c>
      <c r="C401" t="s">
        <v>393</v>
      </c>
      <c r="D401" t="s">
        <v>1551</v>
      </c>
    </row>
    <row r="402" spans="1:4">
      <c r="A402" t="s">
        <v>1556</v>
      </c>
      <c r="B402" t="s">
        <v>1557</v>
      </c>
      <c r="C402" t="s">
        <v>393</v>
      </c>
      <c r="D402" t="s">
        <v>1558</v>
      </c>
    </row>
    <row r="403" spans="1:4">
      <c r="A403" t="s">
        <v>1559</v>
      </c>
      <c r="B403" t="s">
        <v>1560</v>
      </c>
      <c r="C403" t="s">
        <v>393</v>
      </c>
      <c r="D403" t="s">
        <v>1561</v>
      </c>
    </row>
    <row r="405" spans="1:4">
      <c r="A405" t="s">
        <v>1562</v>
      </c>
      <c r="B405" t="s">
        <v>1563</v>
      </c>
      <c r="C405" t="s">
        <v>393</v>
      </c>
      <c r="D405" t="s">
        <v>1565</v>
      </c>
    </row>
    <row r="406" spans="1:4">
      <c r="B406" t="s">
        <v>1564</v>
      </c>
    </row>
    <row r="407" spans="1:4">
      <c r="B407" t="s">
        <v>1566</v>
      </c>
    </row>
    <row r="408" spans="1:4">
      <c r="B408" t="s">
        <v>1567</v>
      </c>
    </row>
    <row r="409" spans="1:4">
      <c r="B409" t="s">
        <v>1568</v>
      </c>
    </row>
    <row r="410" spans="1:4">
      <c r="B410" t="s">
        <v>1569</v>
      </c>
    </row>
    <row r="411" spans="1:4">
      <c r="B411" t="s">
        <v>1570</v>
      </c>
    </row>
    <row r="413" spans="1:4">
      <c r="A413" t="s">
        <v>1586</v>
      </c>
      <c r="B413" t="s">
        <v>1587</v>
      </c>
      <c r="C413" t="s">
        <v>393</v>
      </c>
      <c r="D413" t="s">
        <v>1605</v>
      </c>
    </row>
    <row r="414" spans="1:4">
      <c r="B414" t="s">
        <v>1588</v>
      </c>
    </row>
    <row r="415" spans="1:4">
      <c r="B415" t="s">
        <v>1589</v>
      </c>
    </row>
    <row r="416" spans="1:4">
      <c r="B416" t="s">
        <v>1590</v>
      </c>
    </row>
    <row r="417" spans="1:4">
      <c r="B417" t="s">
        <v>1591</v>
      </c>
    </row>
    <row r="418" spans="1:4">
      <c r="B418" t="s">
        <v>1592</v>
      </c>
    </row>
    <row r="419" spans="1:4">
      <c r="B419" t="s">
        <v>1593</v>
      </c>
      <c r="C419" t="s">
        <v>393</v>
      </c>
      <c r="D419" t="s">
        <v>1606</v>
      </c>
    </row>
    <row r="420" spans="1:4">
      <c r="B420" t="s">
        <v>1594</v>
      </c>
    </row>
    <row r="421" spans="1:4">
      <c r="B421" t="s">
        <v>1595</v>
      </c>
    </row>
    <row r="422" spans="1:4">
      <c r="B422" t="s">
        <v>1596</v>
      </c>
    </row>
    <row r="423" spans="1:4">
      <c r="B423" t="s">
        <v>1593</v>
      </c>
    </row>
    <row r="424" spans="1:4">
      <c r="B424" t="s">
        <v>1599</v>
      </c>
    </row>
    <row r="425" spans="1:4">
      <c r="B425" t="s">
        <v>1600</v>
      </c>
    </row>
    <row r="426" spans="1:4">
      <c r="B426" t="s">
        <v>1607</v>
      </c>
    </row>
    <row r="427" spans="1:4">
      <c r="A427" t="s">
        <v>1671</v>
      </c>
      <c r="B427" t="s">
        <v>1672</v>
      </c>
      <c r="C427" t="s">
        <v>393</v>
      </c>
      <c r="D427" t="s">
        <v>1670</v>
      </c>
    </row>
    <row r="428" spans="1:4">
      <c r="B428" t="s">
        <v>1673</v>
      </c>
    </row>
    <row r="429" spans="1:4">
      <c r="B429" t="s">
        <v>1674</v>
      </c>
    </row>
    <row r="430" spans="1:4">
      <c r="B430" t="s">
        <v>1675</v>
      </c>
    </row>
    <row r="431" spans="1:4">
      <c r="A431" t="s">
        <v>1726</v>
      </c>
      <c r="B431" t="s">
        <v>1727</v>
      </c>
      <c r="C431" t="s">
        <v>741</v>
      </c>
      <c r="D431" t="s">
        <v>1732</v>
      </c>
    </row>
    <row r="432" spans="1:4">
      <c r="B432" t="s">
        <v>1728</v>
      </c>
    </row>
    <row r="433" spans="1:4">
      <c r="B433" t="s">
        <v>1729</v>
      </c>
    </row>
    <row r="434" spans="1:4">
      <c r="B434" t="s">
        <v>1730</v>
      </c>
    </row>
    <row r="435" spans="1:4">
      <c r="B435" t="s">
        <v>1731</v>
      </c>
    </row>
    <row r="436" spans="1:4">
      <c r="A436" t="s">
        <v>1726</v>
      </c>
      <c r="B436" t="s">
        <v>1733</v>
      </c>
      <c r="C436" t="s">
        <v>1735</v>
      </c>
      <c r="D436" t="s">
        <v>1736</v>
      </c>
    </row>
    <row r="437" spans="1:4">
      <c r="A437" t="s">
        <v>1737</v>
      </c>
      <c r="B437" t="s">
        <v>1738</v>
      </c>
      <c r="C437" t="s">
        <v>393</v>
      </c>
      <c r="D437" t="s">
        <v>1739</v>
      </c>
    </row>
    <row r="438" spans="1:4">
      <c r="A438" t="s">
        <v>1749</v>
      </c>
      <c r="B438" t="s">
        <v>1750</v>
      </c>
      <c r="C438" t="s">
        <v>393</v>
      </c>
      <c r="D438" t="s">
        <v>1751</v>
      </c>
    </row>
    <row r="439" spans="1:4">
      <c r="B439" t="s">
        <v>1752</v>
      </c>
    </row>
    <row r="440" spans="1:4">
      <c r="B440" t="s">
        <v>1753</v>
      </c>
    </row>
    <row r="441" spans="1:4">
      <c r="B441" t="s">
        <v>1762</v>
      </c>
    </row>
    <row r="442" spans="1:4">
      <c r="B442" t="s">
        <v>1763</v>
      </c>
    </row>
    <row r="443" spans="1:4">
      <c r="B443" t="s">
        <v>1764</v>
      </c>
    </row>
    <row r="444" spans="1:4">
      <c r="B444" t="s">
        <v>1766</v>
      </c>
    </row>
    <row r="445" spans="1:4">
      <c r="A445" t="s">
        <v>1770</v>
      </c>
      <c r="B445" t="s">
        <v>1771</v>
      </c>
    </row>
    <row r="446" spans="1:4">
      <c r="B446" t="s">
        <v>1772</v>
      </c>
      <c r="C446" t="s">
        <v>393</v>
      </c>
      <c r="D446" t="s">
        <v>1774</v>
      </c>
    </row>
    <row r="447" spans="1:4">
      <c r="A447" t="s">
        <v>1799</v>
      </c>
      <c r="B447" t="s">
        <v>1800</v>
      </c>
      <c r="C447" t="s">
        <v>393</v>
      </c>
      <c r="D447" t="s">
        <v>1803</v>
      </c>
    </row>
    <row r="448" spans="1:4">
      <c r="B448" t="s">
        <v>1801</v>
      </c>
    </row>
    <row r="449" spans="1:4">
      <c r="B449" t="s">
        <v>1802</v>
      </c>
    </row>
    <row r="450" spans="1:4">
      <c r="A450" t="s">
        <v>1854</v>
      </c>
      <c r="B450" t="s">
        <v>1855</v>
      </c>
      <c r="C450" t="s">
        <v>393</v>
      </c>
      <c r="D450" t="s">
        <v>1857</v>
      </c>
    </row>
    <row r="451" spans="1:4">
      <c r="B451" t="s">
        <v>1856</v>
      </c>
      <c r="C451" t="s">
        <v>393</v>
      </c>
      <c r="D451" t="s">
        <v>1857</v>
      </c>
    </row>
    <row r="452" spans="1:4">
      <c r="A452" t="s">
        <v>1853</v>
      </c>
      <c r="B452" t="s">
        <v>1858</v>
      </c>
      <c r="C452" t="s">
        <v>393</v>
      </c>
      <c r="D452" t="s">
        <v>1860</v>
      </c>
    </row>
    <row r="453" spans="1:4">
      <c r="B453" t="s">
        <v>1859</v>
      </c>
    </row>
    <row r="454" spans="1:4">
      <c r="B454" t="s">
        <v>1861</v>
      </c>
    </row>
    <row r="455" spans="1:4">
      <c r="B455" t="s">
        <v>1862</v>
      </c>
    </row>
    <row r="456" spans="1:4">
      <c r="B456" t="s">
        <v>1863</v>
      </c>
    </row>
    <row r="457" spans="1:4">
      <c r="B457" t="s">
        <v>1864</v>
      </c>
    </row>
    <row r="458" spans="1:4">
      <c r="B458" t="s">
        <v>1872</v>
      </c>
    </row>
    <row r="459" spans="1:4">
      <c r="B459" t="s">
        <v>1873</v>
      </c>
    </row>
    <row r="460" spans="1:4">
      <c r="B460" t="s">
        <v>1874</v>
      </c>
    </row>
    <row r="461" spans="1:4">
      <c r="B461" t="s">
        <v>1875</v>
      </c>
    </row>
    <row r="462" spans="1:4">
      <c r="A462" t="s">
        <v>1876</v>
      </c>
      <c r="B462" t="s">
        <v>1877</v>
      </c>
      <c r="C462" t="s">
        <v>393</v>
      </c>
      <c r="D462" t="s">
        <v>1879</v>
      </c>
    </row>
    <row r="463" spans="1:4">
      <c r="B463" t="s">
        <v>1878</v>
      </c>
    </row>
    <row r="464" spans="1:4">
      <c r="B464" t="s">
        <v>1881</v>
      </c>
    </row>
    <row r="465" spans="1:4">
      <c r="B465" t="s">
        <v>1882</v>
      </c>
    </row>
    <row r="466" spans="1:4">
      <c r="B466" t="s">
        <v>1883</v>
      </c>
    </row>
    <row r="467" spans="1:4">
      <c r="A467" t="s">
        <v>1947</v>
      </c>
      <c r="B467" t="s">
        <v>1948</v>
      </c>
      <c r="C467" t="s">
        <v>1735</v>
      </c>
      <c r="D467" t="s">
        <v>1949</v>
      </c>
    </row>
    <row r="468" spans="1:4">
      <c r="A468" t="s">
        <v>1947</v>
      </c>
      <c r="B468" t="s">
        <v>1961</v>
      </c>
      <c r="C468" t="s">
        <v>1735</v>
      </c>
      <c r="D468" t="s">
        <v>1949</v>
      </c>
    </row>
    <row r="469" spans="1:4">
      <c r="A469" t="s">
        <v>1947</v>
      </c>
      <c r="B469" t="s">
        <v>1986</v>
      </c>
      <c r="C469" t="s">
        <v>1735</v>
      </c>
      <c r="D469" t="s">
        <v>1949</v>
      </c>
    </row>
    <row r="470" spans="1:4">
      <c r="A470" t="s">
        <v>1991</v>
      </c>
      <c r="B470" t="s">
        <v>1989</v>
      </c>
      <c r="C470" t="s">
        <v>685</v>
      </c>
      <c r="D470" t="s">
        <v>1990</v>
      </c>
    </row>
    <row r="471" spans="1:4">
      <c r="A471" t="s">
        <v>1991</v>
      </c>
      <c r="B471" t="s">
        <v>2005</v>
      </c>
      <c r="C471" t="s">
        <v>1735</v>
      </c>
      <c r="D471" t="s">
        <v>2006</v>
      </c>
    </row>
    <row r="472" spans="1:4">
      <c r="A472" t="s">
        <v>1991</v>
      </c>
      <c r="B472" t="s">
        <v>2007</v>
      </c>
      <c r="C472" t="s">
        <v>1735</v>
      </c>
      <c r="D472" t="s">
        <v>2006</v>
      </c>
    </row>
    <row r="473" spans="1:4">
      <c r="A473" t="s">
        <v>1991</v>
      </c>
      <c r="B473" t="s">
        <v>2019</v>
      </c>
      <c r="C473" t="s">
        <v>393</v>
      </c>
      <c r="D473" t="s">
        <v>2020</v>
      </c>
    </row>
    <row r="474" spans="1:4">
      <c r="B474" t="s">
        <v>2021</v>
      </c>
    </row>
    <row r="475" spans="1:4">
      <c r="B475" t="s">
        <v>2022</v>
      </c>
    </row>
    <row r="476" spans="1:4">
      <c r="A476" t="s">
        <v>2023</v>
      </c>
      <c r="B476" t="s">
        <v>2024</v>
      </c>
      <c r="C476" t="s">
        <v>393</v>
      </c>
      <c r="D476" t="s">
        <v>2026</v>
      </c>
    </row>
    <row r="477" spans="1:4">
      <c r="B477" t="s">
        <v>2025</v>
      </c>
    </row>
    <row r="478" spans="1:4">
      <c r="B478" t="s">
        <v>2027</v>
      </c>
    </row>
    <row r="479" spans="1:4">
      <c r="A479" t="s">
        <v>2033</v>
      </c>
      <c r="B479" t="s">
        <v>2034</v>
      </c>
      <c r="C479" t="s">
        <v>393</v>
      </c>
      <c r="D479" t="s">
        <v>2035</v>
      </c>
    </row>
    <row r="480" spans="1:4">
      <c r="A480" t="s">
        <v>2032</v>
      </c>
      <c r="B480" t="s">
        <v>2036</v>
      </c>
      <c r="C480" t="s">
        <v>393</v>
      </c>
      <c r="D480" t="s">
        <v>2037</v>
      </c>
    </row>
    <row r="481" spans="1:4">
      <c r="B481" t="s">
        <v>2038</v>
      </c>
    </row>
    <row r="482" spans="1:4">
      <c r="B482" t="s">
        <v>2039</v>
      </c>
    </row>
    <row r="483" spans="1:4">
      <c r="B483" t="s">
        <v>2040</v>
      </c>
    </row>
    <row r="484" spans="1:4">
      <c r="A484" t="s">
        <v>2041</v>
      </c>
      <c r="B484" t="s">
        <v>2042</v>
      </c>
      <c r="C484" t="s">
        <v>685</v>
      </c>
      <c r="D484" t="s">
        <v>2047</v>
      </c>
    </row>
    <row r="485" spans="1:4">
      <c r="A485" t="s">
        <v>2041</v>
      </c>
      <c r="B485" t="s">
        <v>2043</v>
      </c>
      <c r="C485" t="s">
        <v>1735</v>
      </c>
      <c r="D485" t="s">
        <v>2044</v>
      </c>
    </row>
    <row r="486" spans="1:4">
      <c r="B486" t="s">
        <v>2045</v>
      </c>
    </row>
    <row r="487" spans="1:4">
      <c r="B487" t="s">
        <v>2046</v>
      </c>
    </row>
    <row r="488" spans="1:4">
      <c r="A488" t="s">
        <v>2041</v>
      </c>
      <c r="B488" t="s">
        <v>2048</v>
      </c>
      <c r="C488" t="s">
        <v>685</v>
      </c>
      <c r="D488" t="s">
        <v>2049</v>
      </c>
    </row>
    <row r="489" spans="1:4">
      <c r="A489" t="s">
        <v>2041</v>
      </c>
      <c r="B489" t="s">
        <v>2050</v>
      </c>
      <c r="C489" t="s">
        <v>1735</v>
      </c>
      <c r="D489" t="s">
        <v>1527</v>
      </c>
    </row>
    <row r="490" spans="1:4">
      <c r="A490" t="s">
        <v>2051</v>
      </c>
      <c r="B490" t="s">
        <v>2052</v>
      </c>
      <c r="C490" t="s">
        <v>393</v>
      </c>
      <c r="D490" t="s">
        <v>2053</v>
      </c>
    </row>
    <row r="491" spans="1:4">
      <c r="B491" t="s">
        <v>2054</v>
      </c>
    </row>
    <row r="492" spans="1:4">
      <c r="B492" t="s">
        <v>2055</v>
      </c>
    </row>
    <row r="493" spans="1:4">
      <c r="B493" t="s">
        <v>2060</v>
      </c>
    </row>
    <row r="494" spans="1:4">
      <c r="B494" t="s">
        <v>2061</v>
      </c>
    </row>
    <row r="495" spans="1:4">
      <c r="A495" t="s">
        <v>2062</v>
      </c>
      <c r="B495" t="s">
        <v>2063</v>
      </c>
      <c r="C495" t="s">
        <v>685</v>
      </c>
      <c r="D495" t="s">
        <v>2064</v>
      </c>
    </row>
    <row r="496" spans="1:4">
      <c r="A496" t="s">
        <v>2062</v>
      </c>
      <c r="B496" t="s">
        <v>2065</v>
      </c>
      <c r="C496" t="s">
        <v>685</v>
      </c>
      <c r="D496" t="s">
        <v>2064</v>
      </c>
    </row>
    <row r="497" spans="1:4">
      <c r="A497" t="s">
        <v>2062</v>
      </c>
      <c r="B497" t="s">
        <v>2066</v>
      </c>
      <c r="C497" t="s">
        <v>685</v>
      </c>
      <c r="D497" t="s">
        <v>2064</v>
      </c>
    </row>
    <row r="498" spans="1:4">
      <c r="A498" t="s">
        <v>2062</v>
      </c>
      <c r="B498" t="s">
        <v>2067</v>
      </c>
      <c r="C498" t="s">
        <v>685</v>
      </c>
      <c r="D498" t="s">
        <v>2064</v>
      </c>
    </row>
    <row r="499" spans="1:4">
      <c r="A499" t="s">
        <v>2062</v>
      </c>
      <c r="B499" t="s">
        <v>2068</v>
      </c>
      <c r="C499" t="s">
        <v>685</v>
      </c>
      <c r="D499" t="s">
        <v>2064</v>
      </c>
    </row>
    <row r="500" spans="1:4">
      <c r="A500" t="s">
        <v>2062</v>
      </c>
      <c r="B500" t="s">
        <v>2070</v>
      </c>
      <c r="C500" t="s">
        <v>685</v>
      </c>
      <c r="D500" t="s">
        <v>2064</v>
      </c>
    </row>
    <row r="501" spans="1:4">
      <c r="A501" t="s">
        <v>2062</v>
      </c>
      <c r="B501" t="s">
        <v>2071</v>
      </c>
      <c r="C501" t="s">
        <v>685</v>
      </c>
      <c r="D501" t="s">
        <v>2064</v>
      </c>
    </row>
    <row r="502" spans="1:4">
      <c r="A502" t="s">
        <v>2062</v>
      </c>
      <c r="B502" t="s">
        <v>2080</v>
      </c>
      <c r="C502" t="s">
        <v>685</v>
      </c>
      <c r="D502" t="s">
        <v>2064</v>
      </c>
    </row>
    <row r="503" spans="1:4">
      <c r="A503" t="s">
        <v>2062</v>
      </c>
      <c r="B503" t="s">
        <v>2081</v>
      </c>
      <c r="C503" t="s">
        <v>685</v>
      </c>
      <c r="D503" t="s">
        <v>2064</v>
      </c>
    </row>
    <row r="504" spans="1:4">
      <c r="A504" t="s">
        <v>2062</v>
      </c>
      <c r="B504" t="s">
        <v>2082</v>
      </c>
      <c r="C504" t="s">
        <v>685</v>
      </c>
      <c r="D504" t="s">
        <v>2064</v>
      </c>
    </row>
    <row r="505" spans="1:4">
      <c r="A505" t="s">
        <v>2062</v>
      </c>
      <c r="B505" t="s">
        <v>2083</v>
      </c>
      <c r="C505" t="s">
        <v>685</v>
      </c>
      <c r="D505" t="s">
        <v>2064</v>
      </c>
    </row>
    <row r="506" spans="1:4">
      <c r="A506" t="s">
        <v>2062</v>
      </c>
      <c r="B506" t="s">
        <v>2085</v>
      </c>
      <c r="C506" t="s">
        <v>685</v>
      </c>
      <c r="D506" t="s">
        <v>2086</v>
      </c>
    </row>
    <row r="507" spans="1:4">
      <c r="A507" t="s">
        <v>2062</v>
      </c>
      <c r="B507" t="s">
        <v>2087</v>
      </c>
      <c r="C507" t="s">
        <v>685</v>
      </c>
      <c r="D507" t="s">
        <v>2086</v>
      </c>
    </row>
    <row r="508" spans="1:4">
      <c r="A508" t="s">
        <v>2088</v>
      </c>
      <c r="B508" t="s">
        <v>2089</v>
      </c>
      <c r="C508" t="s">
        <v>393</v>
      </c>
      <c r="D508" t="s">
        <v>1544</v>
      </c>
    </row>
    <row r="509" spans="1:4">
      <c r="B509" t="s">
        <v>2090</v>
      </c>
    </row>
    <row r="510" spans="1:4">
      <c r="A510" t="s">
        <v>2088</v>
      </c>
      <c r="B510" t="s">
        <v>2092</v>
      </c>
      <c r="C510" t="s">
        <v>393</v>
      </c>
      <c r="D510" t="s">
        <v>1549</v>
      </c>
    </row>
    <row r="511" spans="1:4">
      <c r="B511" t="s">
        <v>2093</v>
      </c>
    </row>
    <row r="512" spans="1:4">
      <c r="B512" t="s">
        <v>2094</v>
      </c>
    </row>
    <row r="513" spans="1:4">
      <c r="B513" t="s">
        <v>2095</v>
      </c>
    </row>
    <row r="514" spans="1:4">
      <c r="A514" t="s">
        <v>2096</v>
      </c>
      <c r="B514" t="s">
        <v>2097</v>
      </c>
      <c r="C514" t="s">
        <v>393</v>
      </c>
      <c r="D514" t="s">
        <v>1551</v>
      </c>
    </row>
    <row r="515" spans="1:4">
      <c r="A515" t="s">
        <v>2099</v>
      </c>
      <c r="B515" t="s">
        <v>2100</v>
      </c>
      <c r="C515" t="s">
        <v>1735</v>
      </c>
      <c r="D515" t="s">
        <v>2101</v>
      </c>
    </row>
    <row r="516" spans="1:4">
      <c r="A516" t="s">
        <v>2099</v>
      </c>
      <c r="B516" t="s">
        <v>2102</v>
      </c>
      <c r="C516" t="s">
        <v>1735</v>
      </c>
      <c r="D516" t="s">
        <v>1558</v>
      </c>
    </row>
    <row r="517" spans="1:4">
      <c r="A517" t="s">
        <v>2099</v>
      </c>
      <c r="B517" t="s">
        <v>2103</v>
      </c>
      <c r="C517" t="s">
        <v>1735</v>
      </c>
      <c r="D517" t="s">
        <v>1558</v>
      </c>
    </row>
    <row r="518" spans="1:4">
      <c r="A518" t="s">
        <v>2104</v>
      </c>
      <c r="B518" t="s">
        <v>2105</v>
      </c>
      <c r="C518" t="s">
        <v>393</v>
      </c>
      <c r="D518" t="s">
        <v>1561</v>
      </c>
    </row>
    <row r="519" spans="1:4">
      <c r="B519" t="s">
        <v>2106</v>
      </c>
    </row>
    <row r="520" spans="1:4">
      <c r="B520" t="s">
        <v>2107</v>
      </c>
    </row>
    <row r="521" spans="1:4">
      <c r="B521" t="s">
        <v>2108</v>
      </c>
    </row>
    <row r="522" spans="1:4">
      <c r="B522" t="s">
        <v>2109</v>
      </c>
    </row>
    <row r="523" spans="1:4">
      <c r="A523">
        <v>9.24</v>
      </c>
      <c r="B523" t="s">
        <v>2115</v>
      </c>
      <c r="C523" t="s">
        <v>1735</v>
      </c>
      <c r="D523" t="s">
        <v>1565</v>
      </c>
    </row>
    <row r="524" spans="1:4" ht="29">
      <c r="B524" s="617" t="s">
        <v>2114</v>
      </c>
    </row>
    <row r="525" spans="1:4">
      <c r="A525" t="s">
        <v>2116</v>
      </c>
    </row>
    <row r="526" spans="1:4">
      <c r="A526" t="s">
        <v>2118</v>
      </c>
      <c r="B526" t="s">
        <v>2119</v>
      </c>
      <c r="C526" t="s">
        <v>393</v>
      </c>
      <c r="D526" t="s">
        <v>2121</v>
      </c>
    </row>
    <row r="527" spans="1:4">
      <c r="B527" t="s">
        <v>2120</v>
      </c>
    </row>
    <row r="528" spans="1:4">
      <c r="B528" t="s">
        <v>2231</v>
      </c>
    </row>
    <row r="529" spans="1:4">
      <c r="A529" t="s">
        <v>2126</v>
      </c>
      <c r="B529" t="s">
        <v>2129</v>
      </c>
      <c r="C529" t="s">
        <v>393</v>
      </c>
      <c r="D529" t="s">
        <v>2127</v>
      </c>
    </row>
    <row r="530" spans="1:4">
      <c r="B530" t="s">
        <v>2128</v>
      </c>
    </row>
    <row r="531" spans="1:4">
      <c r="A531" t="s">
        <v>2142</v>
      </c>
      <c r="B531" t="s">
        <v>2143</v>
      </c>
      <c r="C531" t="s">
        <v>393</v>
      </c>
      <c r="D531" t="s">
        <v>2144</v>
      </c>
    </row>
    <row r="532" spans="1:4">
      <c r="B532" t="s">
        <v>2145</v>
      </c>
    </row>
    <row r="533" spans="1:4">
      <c r="B533" t="s">
        <v>2147</v>
      </c>
    </row>
    <row r="534" spans="1:4">
      <c r="B534" t="s">
        <v>2146</v>
      </c>
    </row>
    <row r="535" spans="1:4">
      <c r="A535" t="s">
        <v>2142</v>
      </c>
      <c r="B535" t="s">
        <v>2148</v>
      </c>
      <c r="C535" t="s">
        <v>365</v>
      </c>
      <c r="D535" t="s">
        <v>2149</v>
      </c>
    </row>
    <row r="536" spans="1:4">
      <c r="A536" t="s">
        <v>2225</v>
      </c>
      <c r="B536" t="s">
        <v>2226</v>
      </c>
      <c r="C536" t="s">
        <v>393</v>
      </c>
      <c r="D536" t="s">
        <v>1879</v>
      </c>
    </row>
    <row r="537" spans="1:4">
      <c r="B537" t="s">
        <v>2227</v>
      </c>
    </row>
    <row r="538" spans="1:4">
      <c r="B538" t="s">
        <v>2228</v>
      </c>
    </row>
    <row r="539" spans="1:4">
      <c r="B539" t="s">
        <v>2229</v>
      </c>
    </row>
    <row r="540" spans="1:4">
      <c r="B540" t="s">
        <v>2230</v>
      </c>
    </row>
    <row r="541" spans="1:4">
      <c r="B541" t="s">
        <v>2232</v>
      </c>
    </row>
    <row r="542" spans="1:4">
      <c r="B542" t="s">
        <v>2233</v>
      </c>
    </row>
    <row r="543" spans="1:4">
      <c r="B543" t="s">
        <v>2234</v>
      </c>
    </row>
    <row r="544" spans="1:4">
      <c r="B544" t="s">
        <v>2235</v>
      </c>
    </row>
    <row r="545" spans="1:4">
      <c r="B545" t="s">
        <v>2236</v>
      </c>
    </row>
    <row r="546" spans="1:4">
      <c r="B546" t="s">
        <v>2237</v>
      </c>
    </row>
    <row r="547" spans="1:4">
      <c r="B547" t="s">
        <v>2238</v>
      </c>
    </row>
    <row r="548" spans="1:4">
      <c r="B548" t="s">
        <v>2239</v>
      </c>
    </row>
    <row r="549" spans="1:4">
      <c r="B549" t="s">
        <v>2240</v>
      </c>
    </row>
    <row r="550" spans="1:4">
      <c r="B550" t="s">
        <v>2241</v>
      </c>
    </row>
    <row r="551" spans="1:4">
      <c r="B551" t="s">
        <v>2242</v>
      </c>
    </row>
    <row r="552" spans="1:4">
      <c r="B552" t="s">
        <v>2243</v>
      </c>
    </row>
    <row r="553" spans="1:4">
      <c r="A553" t="s">
        <v>2244</v>
      </c>
      <c r="B553" t="s">
        <v>2245</v>
      </c>
      <c r="C553" t="s">
        <v>393</v>
      </c>
      <c r="D553" t="s">
        <v>2246</v>
      </c>
    </row>
    <row r="554" spans="1:4">
      <c r="B554" t="s">
        <v>2247</v>
      </c>
    </row>
    <row r="555" spans="1:4">
      <c r="A555" t="s">
        <v>2263</v>
      </c>
      <c r="B555" t="s">
        <v>2264</v>
      </c>
      <c r="C555" t="s">
        <v>393</v>
      </c>
      <c r="D555" t="s">
        <v>2265</v>
      </c>
    </row>
    <row r="556" spans="1:4">
      <c r="B556" t="s">
        <v>2266</v>
      </c>
    </row>
    <row r="557" spans="1:4">
      <c r="B557" t="s">
        <v>2267</v>
      </c>
    </row>
    <row r="558" spans="1:4">
      <c r="B558" t="s">
        <v>2268</v>
      </c>
    </row>
    <row r="559" spans="1:4">
      <c r="B559" t="s">
        <v>2269</v>
      </c>
    </row>
    <row r="560" spans="1:4">
      <c r="A560" t="s">
        <v>2284</v>
      </c>
      <c r="B560" t="s">
        <v>2285</v>
      </c>
      <c r="C560" t="s">
        <v>393</v>
      </c>
      <c r="D560" t="s">
        <v>2286</v>
      </c>
    </row>
    <row r="561" spans="1:4">
      <c r="B561" t="s">
        <v>2287</v>
      </c>
    </row>
    <row r="562" spans="1:4">
      <c r="B562" t="s">
        <v>2288</v>
      </c>
    </row>
    <row r="563" spans="1:4">
      <c r="B563" t="s">
        <v>2289</v>
      </c>
    </row>
    <row r="564" spans="1:4">
      <c r="B564" t="s">
        <v>2300</v>
      </c>
    </row>
    <row r="565" spans="1:4">
      <c r="B565" t="s">
        <v>2301</v>
      </c>
    </row>
    <row r="566" spans="1:4">
      <c r="B566" t="s">
        <v>2302</v>
      </c>
    </row>
    <row r="567" spans="1:4">
      <c r="A567" t="s">
        <v>2304</v>
      </c>
      <c r="B567" t="s">
        <v>2317</v>
      </c>
      <c r="C567" t="s">
        <v>393</v>
      </c>
      <c r="D567" t="s">
        <v>2026</v>
      </c>
    </row>
    <row r="568" spans="1:4">
      <c r="B568" t="s">
        <v>2305</v>
      </c>
    </row>
    <row r="569" spans="1:4">
      <c r="B569" t="s">
        <v>2306</v>
      </c>
    </row>
    <row r="570" spans="1:4">
      <c r="B570" t="s">
        <v>2307</v>
      </c>
    </row>
    <row r="571" spans="1:4">
      <c r="A571" t="s">
        <v>2318</v>
      </c>
      <c r="B571" t="s">
        <v>2319</v>
      </c>
      <c r="C571" t="s">
        <v>393</v>
      </c>
      <c r="D571" t="s">
        <v>2037</v>
      </c>
    </row>
    <row r="572" spans="1:4">
      <c r="B572" t="s">
        <v>2320</v>
      </c>
    </row>
    <row r="573" spans="1:4">
      <c r="B573" t="s">
        <v>2323</v>
      </c>
    </row>
    <row r="574" spans="1:4">
      <c r="B574" t="s">
        <v>2324</v>
      </c>
    </row>
    <row r="575" spans="1:4">
      <c r="B575" t="s">
        <v>2325</v>
      </c>
    </row>
    <row r="577" spans="1:4">
      <c r="A577" t="s">
        <v>2326</v>
      </c>
      <c r="B577" t="s">
        <v>2327</v>
      </c>
      <c r="C577" t="s">
        <v>685</v>
      </c>
      <c r="D577" t="s">
        <v>2328</v>
      </c>
    </row>
    <row r="578" spans="1:4">
      <c r="A578" t="s">
        <v>2329</v>
      </c>
    </row>
    <row r="579" spans="1:4" ht="15.5">
      <c r="A579" t="s">
        <v>2330</v>
      </c>
      <c r="B579" s="713" t="s">
        <v>2331</v>
      </c>
      <c r="C579" t="s">
        <v>393</v>
      </c>
      <c r="D579" t="s">
        <v>2336</v>
      </c>
    </row>
    <row r="580" spans="1:4">
      <c r="B580" t="s">
        <v>2332</v>
      </c>
    </row>
    <row r="581" spans="1:4">
      <c r="B581" t="s">
        <v>2333</v>
      </c>
    </row>
    <row r="582" spans="1:4">
      <c r="B582" t="s">
        <v>2334</v>
      </c>
    </row>
    <row r="583" spans="1:4">
      <c r="B583" t="s">
        <v>2335</v>
      </c>
    </row>
    <row r="584" spans="1:4">
      <c r="A584" t="s">
        <v>2337</v>
      </c>
      <c r="B584" t="s">
        <v>2338</v>
      </c>
      <c r="C584" t="s">
        <v>685</v>
      </c>
      <c r="D584" t="s">
        <v>2339</v>
      </c>
    </row>
    <row r="587" spans="1:4">
      <c r="A587" t="s">
        <v>2342</v>
      </c>
      <c r="B587" t="s">
        <v>2343</v>
      </c>
      <c r="C587" t="s">
        <v>685</v>
      </c>
      <c r="D587" t="s">
        <v>2344</v>
      </c>
    </row>
    <row r="588" spans="1:4">
      <c r="B588" t="s">
        <v>2346</v>
      </c>
    </row>
    <row r="589" spans="1:4">
      <c r="B589" t="s">
        <v>2347</v>
      </c>
    </row>
    <row r="590" spans="1:4">
      <c r="B590" t="s">
        <v>2348</v>
      </c>
    </row>
    <row r="591" spans="1:4">
      <c r="A591" t="s">
        <v>2351</v>
      </c>
      <c r="B591" t="s">
        <v>2349</v>
      </c>
      <c r="C591" t="s">
        <v>685</v>
      </c>
      <c r="D591" t="s">
        <v>2352</v>
      </c>
    </row>
    <row r="592" spans="1:4">
      <c r="B592" t="s">
        <v>2350</v>
      </c>
    </row>
    <row r="593" spans="1:4">
      <c r="B593" t="s">
        <v>2353</v>
      </c>
    </row>
    <row r="594" spans="1:4">
      <c r="A594" t="s">
        <v>2354</v>
      </c>
      <c r="B594" t="s">
        <v>2355</v>
      </c>
      <c r="C594" t="s">
        <v>685</v>
      </c>
      <c r="D594" t="s">
        <v>2356</v>
      </c>
    </row>
    <row r="595" spans="1:4">
      <c r="B595" t="s">
        <v>2357</v>
      </c>
    </row>
    <row r="596" spans="1:4">
      <c r="B596" t="s">
        <v>2358</v>
      </c>
    </row>
    <row r="597" spans="1:4">
      <c r="A597" t="s">
        <v>2364</v>
      </c>
      <c r="B597" t="s">
        <v>2365</v>
      </c>
      <c r="C597" t="s">
        <v>685</v>
      </c>
      <c r="D597" t="s">
        <v>1439</v>
      </c>
    </row>
    <row r="598" spans="1:4">
      <c r="B598" t="s">
        <v>2366</v>
      </c>
    </row>
    <row r="600" spans="1:4">
      <c r="A600" t="s">
        <v>2368</v>
      </c>
      <c r="B600" t="s">
        <v>2369</v>
      </c>
      <c r="C600" t="s">
        <v>2370</v>
      </c>
      <c r="D600" t="s">
        <v>2371</v>
      </c>
    </row>
    <row r="602" spans="1:4">
      <c r="A602" t="s">
        <v>2375</v>
      </c>
      <c r="B602" t="s">
        <v>2376</v>
      </c>
      <c r="C602" t="s">
        <v>2377</v>
      </c>
      <c r="D602" t="s">
        <v>2378</v>
      </c>
    </row>
    <row r="603" spans="1:4">
      <c r="B603" t="s">
        <v>2379</v>
      </c>
    </row>
    <row r="605" spans="1:4">
      <c r="A605" t="s">
        <v>2633</v>
      </c>
      <c r="B605" t="s">
        <v>2634</v>
      </c>
      <c r="C605" t="s">
        <v>2377</v>
      </c>
      <c r="D605" t="s">
        <v>2635</v>
      </c>
    </row>
    <row r="607" spans="1:4">
      <c r="A607" t="s">
        <v>2644</v>
      </c>
      <c r="B607" t="s">
        <v>2645</v>
      </c>
      <c r="C607" t="s">
        <v>2377</v>
      </c>
      <c r="D607" t="s">
        <v>2649</v>
      </c>
    </row>
    <row r="608" spans="1:4">
      <c r="B608" t="s">
        <v>2646</v>
      </c>
    </row>
    <row r="609" spans="2:2">
      <c r="B609" t="s">
        <v>2647</v>
      </c>
    </row>
    <row r="610" spans="2:2">
      <c r="B610" t="s">
        <v>2648</v>
      </c>
    </row>
    <row r="611" spans="2:2">
      <c r="B611" t="s">
        <v>2652</v>
      </c>
    </row>
  </sheetData>
  <phoneticPr fontId="137" type="noConversion"/>
  <pageMargins left="0.7" right="0.7" top="0.75" bottom="0.75" header="0.3" footer="0.3"/>
  <pageSetup orientation="portrait" horizontalDpi="1200" verticalDpi="1200" r:id="rId1"/>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8">
    <tabColor rgb="FF00B050"/>
    <pageSetUpPr fitToPage="1"/>
  </sheetPr>
  <dimension ref="A1:IU34"/>
  <sheetViews>
    <sheetView showGridLines="0" zoomScaleNormal="100" workbookViewId="0">
      <selection sqref="A1:D1"/>
    </sheetView>
  </sheetViews>
  <sheetFormatPr defaultColWidth="0" defaultRowHeight="16.5" customHeight="1" zeroHeight="1"/>
  <cols>
    <col min="1" max="1" width="3.54296875" style="132" customWidth="1"/>
    <col min="2" max="2" width="13.81640625" style="132" customWidth="1"/>
    <col min="3" max="3" width="50.54296875" style="132" customWidth="1"/>
    <col min="4" max="4" width="14.1796875" style="132" customWidth="1"/>
    <col min="5" max="5" width="14" style="132" customWidth="1"/>
    <col min="6" max="6" width="14.453125" style="132" customWidth="1"/>
    <col min="7" max="7" width="29" style="132" customWidth="1"/>
    <col min="8" max="8" width="21.81640625" style="132" customWidth="1"/>
    <col min="9" max="9" width="3.54296875" style="132" hidden="1" customWidth="1"/>
    <col min="10" max="13" width="8.81640625" style="132" hidden="1" customWidth="1"/>
    <col min="14" max="255" width="9.1796875" style="132" hidden="1" customWidth="1"/>
    <col min="256" max="16384" width="11.54296875" style="132" hidden="1"/>
  </cols>
  <sheetData>
    <row r="1" spans="1:10" ht="60" customHeight="1">
      <c r="A1" s="1083" t="str">
        <f>'Customer Information'!A1</f>
        <v>2025 Commercial Efficiency Program</v>
      </c>
      <c r="B1" s="1083"/>
      <c r="C1" s="1083"/>
      <c r="D1" s="1083"/>
      <c r="E1" s="723"/>
      <c r="F1" s="725"/>
      <c r="G1" s="725"/>
      <c r="H1" s="725"/>
      <c r="I1" s="55"/>
      <c r="J1" s="159"/>
    </row>
    <row r="2" spans="1:10" ht="31.5" customHeight="1" thickBot="1">
      <c r="A2" s="724" t="str">
        <f>'Customer Information'!A2:H2</f>
        <v>Commercial Weatherization Rebate Application, Version 1.0</v>
      </c>
      <c r="B2" s="724"/>
      <c r="C2" s="724"/>
      <c r="D2" s="724"/>
      <c r="E2" s="721"/>
      <c r="F2" s="726"/>
      <c r="G2" s="726"/>
      <c r="H2" s="727"/>
      <c r="I2" s="160"/>
      <c r="J2" s="160"/>
    </row>
    <row r="3" spans="1:10" ht="19" thickTop="1" thickBot="1">
      <c r="B3" s="315" t="s">
        <v>1950</v>
      </c>
      <c r="C3" s="316"/>
      <c r="D3" s="316"/>
      <c r="E3" s="316"/>
      <c r="F3" s="316"/>
      <c r="G3" s="317"/>
    </row>
    <row r="4" spans="1:10" ht="18" customHeight="1">
      <c r="B4" s="285" t="s">
        <v>161</v>
      </c>
      <c r="D4" s="70" t="s">
        <v>162</v>
      </c>
      <c r="E4" s="70"/>
      <c r="G4" s="70" t="s">
        <v>1951</v>
      </c>
    </row>
    <row r="5" spans="1:10" ht="18" customHeight="1">
      <c r="B5" s="161"/>
      <c r="D5" s="132" t="s">
        <v>1952</v>
      </c>
      <c r="G5" s="132" t="s">
        <v>1953</v>
      </c>
    </row>
    <row r="6" spans="1:10" ht="18" customHeight="1">
      <c r="B6" s="161"/>
      <c r="D6" s="132" t="s">
        <v>1954</v>
      </c>
      <c r="G6" s="132" t="s">
        <v>1953</v>
      </c>
    </row>
    <row r="7" spans="1:10" ht="18" customHeight="1">
      <c r="B7" s="161"/>
      <c r="D7" s="132" t="s">
        <v>1952</v>
      </c>
      <c r="G7" s="132" t="s">
        <v>1953</v>
      </c>
    </row>
    <row r="8" spans="1:10" ht="18" customHeight="1">
      <c r="B8" s="161"/>
      <c r="D8" s="132" t="s">
        <v>1954</v>
      </c>
      <c r="G8" s="132" t="s">
        <v>1953</v>
      </c>
    </row>
    <row r="9" spans="1:10" ht="18" customHeight="1">
      <c r="B9" s="161"/>
      <c r="D9" s="162" t="s">
        <v>1955</v>
      </c>
      <c r="E9" s="162"/>
      <c r="G9" s="132" t="s">
        <v>1953</v>
      </c>
    </row>
    <row r="10" spans="1:10" ht="18" customHeight="1">
      <c r="B10" s="161"/>
      <c r="D10" s="132" t="s">
        <v>1952</v>
      </c>
      <c r="G10" s="284" t="s">
        <v>1953</v>
      </c>
    </row>
    <row r="11" spans="1:10" ht="18" customHeight="1">
      <c r="B11" s="161"/>
      <c r="D11" s="162" t="s">
        <v>1955</v>
      </c>
      <c r="E11" s="162"/>
      <c r="G11" s="132" t="s">
        <v>1953</v>
      </c>
    </row>
    <row r="12" spans="1:10" ht="18" customHeight="1">
      <c r="B12" s="161"/>
      <c r="D12" s="132" t="s">
        <v>1954</v>
      </c>
      <c r="E12" s="162"/>
      <c r="G12" s="132" t="s">
        <v>1953</v>
      </c>
    </row>
    <row r="13" spans="1:10" ht="18" customHeight="1">
      <c r="B13" s="161"/>
      <c r="D13" s="132" t="s">
        <v>1952</v>
      </c>
      <c r="G13" s="132" t="s">
        <v>1956</v>
      </c>
    </row>
    <row r="14" spans="1:10" ht="18" customHeight="1">
      <c r="B14" s="161"/>
      <c r="D14" s="132" t="s">
        <v>1952</v>
      </c>
      <c r="G14" s="132" t="s">
        <v>1956</v>
      </c>
    </row>
    <row r="15" spans="1:10" ht="18" customHeight="1">
      <c r="B15" s="161"/>
      <c r="D15" s="162" t="s">
        <v>1955</v>
      </c>
      <c r="G15" s="132" t="s">
        <v>1956</v>
      </c>
    </row>
    <row r="16" spans="1:10" ht="18" customHeight="1">
      <c r="B16" s="161"/>
      <c r="D16" s="132" t="s">
        <v>1954</v>
      </c>
      <c r="G16" s="132" t="s">
        <v>2290</v>
      </c>
    </row>
    <row r="17" spans="1:10" ht="27" customHeight="1">
      <c r="B17" s="161"/>
      <c r="G17" s="577"/>
    </row>
    <row r="18" spans="1:10" ht="18" hidden="1" customHeight="1" thickBot="1">
      <c r="B18" s="315" t="s">
        <v>1957</v>
      </c>
      <c r="C18" s="316"/>
      <c r="D18" s="316"/>
      <c r="E18" s="316"/>
      <c r="F18" s="316"/>
      <c r="G18" s="317"/>
    </row>
    <row r="19" spans="1:10" ht="18" hidden="1" customHeight="1">
      <c r="B19" s="285" t="s">
        <v>161</v>
      </c>
      <c r="D19" s="70" t="s">
        <v>162</v>
      </c>
      <c r="G19" s="70" t="s">
        <v>1951</v>
      </c>
    </row>
    <row r="20" spans="1:10" ht="18" hidden="1" customHeight="1">
      <c r="B20" s="285"/>
      <c r="D20" s="132" t="s">
        <v>1958</v>
      </c>
      <c r="E20" s="70"/>
      <c r="G20" s="132" t="s">
        <v>1953</v>
      </c>
    </row>
    <row r="21" spans="1:10" ht="18" hidden="1" customHeight="1">
      <c r="B21" s="285"/>
      <c r="D21" s="132" t="s">
        <v>1958</v>
      </c>
      <c r="E21" s="70"/>
      <c r="G21" s="132" t="s">
        <v>1953</v>
      </c>
    </row>
    <row r="22" spans="1:10" ht="18" hidden="1" customHeight="1">
      <c r="B22" s="285"/>
      <c r="D22" s="70"/>
      <c r="E22" s="70"/>
      <c r="G22" s="70"/>
    </row>
    <row r="23" spans="1:10" ht="14.25" customHeight="1">
      <c r="B23" s="161"/>
      <c r="G23" s="577"/>
      <c r="I23" s="38"/>
      <c r="J23" s="38"/>
    </row>
    <row r="24" spans="1:10" ht="15" customHeight="1">
      <c r="B24" s="163" t="s">
        <v>1959</v>
      </c>
    </row>
    <row r="25" spans="1:10" ht="18" customHeight="1">
      <c r="B25" s="163"/>
    </row>
    <row r="26" spans="1:10" ht="27" customHeight="1">
      <c r="B26" s="1086" t="s">
        <v>1960</v>
      </c>
      <c r="C26" s="1087"/>
      <c r="D26" s="578"/>
      <c r="E26" s="164" t="s">
        <v>1946</v>
      </c>
    </row>
    <row r="27" spans="1:10" ht="16.5" customHeight="1"/>
    <row r="28" spans="1:10" ht="16.5" customHeight="1">
      <c r="B28" s="1085" t="s">
        <v>1356</v>
      </c>
      <c r="C28" s="1085"/>
      <c r="D28" s="1085"/>
      <c r="E28" s="1085"/>
      <c r="F28" s="1085"/>
      <c r="G28" s="1085"/>
      <c r="H28" s="1085"/>
    </row>
    <row r="29" spans="1:10" s="162" customFormat="1" ht="16.5" customHeight="1">
      <c r="B29" s="1084" t="s">
        <v>1365</v>
      </c>
      <c r="C29" s="1084"/>
      <c r="D29" s="1084"/>
      <c r="E29" s="1084"/>
      <c r="F29" s="1084"/>
      <c r="G29" s="1084"/>
      <c r="H29" s="1084"/>
      <c r="I29" s="1084"/>
    </row>
    <row r="30" spans="1:10" ht="16.5" customHeight="1"/>
    <row r="31" spans="1:10" ht="16.5" customHeight="1">
      <c r="D31" s="507"/>
      <c r="E31" s="508"/>
    </row>
    <row r="32" spans="1:10" s="88" customFormat="1" ht="16.5" customHeight="1">
      <c r="A32" s="132"/>
    </row>
    <row r="33" spans="2:8" ht="16.5" customHeight="1">
      <c r="B33" s="165" t="s">
        <v>165</v>
      </c>
      <c r="C33" s="478" t="str">
        <f>Development!$A$2</f>
        <v>1.0</v>
      </c>
      <c r="G33" s="166" t="s">
        <v>167</v>
      </c>
      <c r="H33" s="167" t="str">
        <f>Development!$A$4</f>
        <v>01.01.2025</v>
      </c>
    </row>
    <row r="34" spans="2:8" ht="16.5" customHeight="1"/>
  </sheetData>
  <sheetProtection algorithmName="SHA-512" hashValue="7aXp3IHe/nYFZ40ZyPjEocvky05P5z2Z2XwXHrOQb4B7mCdIX59ksTaxA8QQP/u7JVDuSzbk5DWOKv/Ur5P6bQ==" saltValue="joCv+6V6nkKl7c8A2wDZXQ==" spinCount="100000" sheet="1" objects="1" scenarios="1"/>
  <mergeCells count="4">
    <mergeCell ref="A1:D1"/>
    <mergeCell ref="B29:I29"/>
    <mergeCell ref="B28:H28"/>
    <mergeCell ref="B26:C26"/>
  </mergeCells>
  <printOptions horizontalCentered="1"/>
  <pageMargins left="0" right="0" top="0.25" bottom="0.25" header="0.3" footer="0.3"/>
  <pageSetup scale="64" orientation="portrait" r:id="rId1"/>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255</xdr:col>
                    <xdr:colOff>0</xdr:colOff>
                    <xdr:row>3</xdr:row>
                    <xdr:rowOff>0</xdr:rowOff>
                  </from>
                  <to>
                    <xdr:col>256</xdr:col>
                    <xdr:colOff>0</xdr:colOff>
                    <xdr:row>3</xdr:row>
                    <xdr:rowOff>0</xdr:rowOff>
                  </to>
                </anchor>
              </controlPr>
            </control>
          </mc:Choice>
        </mc:AlternateContent>
        <mc:AlternateContent xmlns:mc="http://schemas.openxmlformats.org/markup-compatibility/2006">
          <mc:Choice Requires="x14">
            <control shapeId="34818" r:id="rId5" name="Check Box 2">
              <controlPr defaultSize="0" autoFill="0" autoLine="0" autoPict="0">
                <anchor moveWithCells="1">
                  <from>
                    <xdr:col>255</xdr:col>
                    <xdr:colOff>0</xdr:colOff>
                    <xdr:row>3</xdr:row>
                    <xdr:rowOff>0</xdr:rowOff>
                  </from>
                  <to>
                    <xdr:col>256</xdr:col>
                    <xdr:colOff>0</xdr:colOff>
                    <xdr:row>3</xdr:row>
                    <xdr:rowOff>0</xdr:rowOff>
                  </to>
                </anchor>
              </controlPr>
            </control>
          </mc:Choice>
        </mc:AlternateContent>
        <mc:AlternateContent xmlns:mc="http://schemas.openxmlformats.org/markup-compatibility/2006">
          <mc:Choice Requires="x14">
            <control shapeId="35594" r:id="rId6" name="Check Box 778">
              <controlPr defaultSize="0" autoFill="0" autoLine="0" autoPict="0">
                <anchor moveWithCells="1">
                  <from>
                    <xdr:col>1</xdr:col>
                    <xdr:colOff>1200150</xdr:colOff>
                    <xdr:row>4</xdr:row>
                    <xdr:rowOff>69850</xdr:rowOff>
                  </from>
                  <to>
                    <xdr:col>3</xdr:col>
                    <xdr:colOff>0</xdr:colOff>
                    <xdr:row>5</xdr:row>
                    <xdr:rowOff>0</xdr:rowOff>
                  </to>
                </anchor>
              </controlPr>
            </control>
          </mc:Choice>
        </mc:AlternateContent>
        <mc:AlternateContent xmlns:mc="http://schemas.openxmlformats.org/markup-compatibility/2006">
          <mc:Choice Requires="x14">
            <control shapeId="35595" r:id="rId7" name="Check Box 779">
              <controlPr defaultSize="0" autoFill="0" autoLine="0" autoPict="0">
                <anchor moveWithCells="1">
                  <from>
                    <xdr:col>1</xdr:col>
                    <xdr:colOff>1200150</xdr:colOff>
                    <xdr:row>5</xdr:row>
                    <xdr:rowOff>69850</xdr:rowOff>
                  </from>
                  <to>
                    <xdr:col>3</xdr:col>
                    <xdr:colOff>0</xdr:colOff>
                    <xdr:row>6</xdr:row>
                    <xdr:rowOff>0</xdr:rowOff>
                  </to>
                </anchor>
              </controlPr>
            </control>
          </mc:Choice>
        </mc:AlternateContent>
        <mc:AlternateContent xmlns:mc="http://schemas.openxmlformats.org/markup-compatibility/2006">
          <mc:Choice Requires="x14">
            <control shapeId="35596" r:id="rId8" name="Check Box 780">
              <controlPr defaultSize="0" autoFill="0" autoLine="0" autoPict="0">
                <anchor moveWithCells="1">
                  <from>
                    <xdr:col>1</xdr:col>
                    <xdr:colOff>1200150</xdr:colOff>
                    <xdr:row>12</xdr:row>
                    <xdr:rowOff>69850</xdr:rowOff>
                  </from>
                  <to>
                    <xdr:col>3</xdr:col>
                    <xdr:colOff>0</xdr:colOff>
                    <xdr:row>13</xdr:row>
                    <xdr:rowOff>0</xdr:rowOff>
                  </to>
                </anchor>
              </controlPr>
            </control>
          </mc:Choice>
        </mc:AlternateContent>
        <mc:AlternateContent xmlns:mc="http://schemas.openxmlformats.org/markup-compatibility/2006">
          <mc:Choice Requires="x14">
            <control shapeId="35597" r:id="rId9" name="Check Box 781">
              <controlPr defaultSize="0" autoFill="0" autoLine="0" autoPict="0">
                <anchor moveWithCells="1">
                  <from>
                    <xdr:col>1</xdr:col>
                    <xdr:colOff>1200150</xdr:colOff>
                    <xdr:row>7</xdr:row>
                    <xdr:rowOff>50800</xdr:rowOff>
                  </from>
                  <to>
                    <xdr:col>3</xdr:col>
                    <xdr:colOff>0</xdr:colOff>
                    <xdr:row>8</xdr:row>
                    <xdr:rowOff>0</xdr:rowOff>
                  </to>
                </anchor>
              </controlPr>
            </control>
          </mc:Choice>
        </mc:AlternateContent>
        <mc:AlternateContent xmlns:mc="http://schemas.openxmlformats.org/markup-compatibility/2006">
          <mc:Choice Requires="x14">
            <control shapeId="35598" r:id="rId10" name="Check Box 782">
              <controlPr defaultSize="0" autoFill="0" autoLine="0" autoPict="0">
                <anchor moveWithCells="1">
                  <from>
                    <xdr:col>1</xdr:col>
                    <xdr:colOff>1200150</xdr:colOff>
                    <xdr:row>13</xdr:row>
                    <xdr:rowOff>69850</xdr:rowOff>
                  </from>
                  <to>
                    <xdr:col>3</xdr:col>
                    <xdr:colOff>0</xdr:colOff>
                    <xdr:row>14</xdr:row>
                    <xdr:rowOff>0</xdr:rowOff>
                  </to>
                </anchor>
              </controlPr>
            </control>
          </mc:Choice>
        </mc:AlternateContent>
        <mc:AlternateContent xmlns:mc="http://schemas.openxmlformats.org/markup-compatibility/2006">
          <mc:Choice Requires="x14">
            <control shapeId="35599" r:id="rId11" name="Check Box 783">
              <controlPr defaultSize="0" autoFill="0" autoLine="0" autoPict="0">
                <anchor moveWithCells="1">
                  <from>
                    <xdr:col>2</xdr:col>
                    <xdr:colOff>0</xdr:colOff>
                    <xdr:row>10</xdr:row>
                    <xdr:rowOff>69850</xdr:rowOff>
                  </from>
                  <to>
                    <xdr:col>2</xdr:col>
                    <xdr:colOff>2819400</xdr:colOff>
                    <xdr:row>11</xdr:row>
                    <xdr:rowOff>31750</xdr:rowOff>
                  </to>
                </anchor>
              </controlPr>
            </control>
          </mc:Choice>
        </mc:AlternateContent>
        <mc:AlternateContent xmlns:mc="http://schemas.openxmlformats.org/markup-compatibility/2006">
          <mc:Choice Requires="x14">
            <control shapeId="35600" r:id="rId12" name="Check Box 784">
              <controlPr defaultSize="0" autoFill="0" autoLine="0" autoPict="0">
                <anchor moveWithCells="1">
                  <from>
                    <xdr:col>1</xdr:col>
                    <xdr:colOff>1200150</xdr:colOff>
                    <xdr:row>8</xdr:row>
                    <xdr:rowOff>69850</xdr:rowOff>
                  </from>
                  <to>
                    <xdr:col>3</xdr:col>
                    <xdr:colOff>0</xdr:colOff>
                    <xdr:row>9</xdr:row>
                    <xdr:rowOff>0</xdr:rowOff>
                  </to>
                </anchor>
              </controlPr>
            </control>
          </mc:Choice>
        </mc:AlternateContent>
        <mc:AlternateContent xmlns:mc="http://schemas.openxmlformats.org/markup-compatibility/2006">
          <mc:Choice Requires="x14">
            <control shapeId="35601" r:id="rId13" name="Check Box 785">
              <controlPr defaultSize="0" autoFill="0" autoLine="0" autoPict="0">
                <anchor moveWithCells="1">
                  <from>
                    <xdr:col>2</xdr:col>
                    <xdr:colOff>12700</xdr:colOff>
                    <xdr:row>9</xdr:row>
                    <xdr:rowOff>76200</xdr:rowOff>
                  </from>
                  <to>
                    <xdr:col>3</xdr:col>
                    <xdr:colOff>12700</xdr:colOff>
                    <xdr:row>9</xdr:row>
                    <xdr:rowOff>222250</xdr:rowOff>
                  </to>
                </anchor>
              </controlPr>
            </control>
          </mc:Choice>
        </mc:AlternateContent>
        <mc:AlternateContent xmlns:mc="http://schemas.openxmlformats.org/markup-compatibility/2006">
          <mc:Choice Requires="x14">
            <control shapeId="35602" r:id="rId14" name="Check Box 786">
              <controlPr defaultSize="0" autoFill="0" autoLine="0" autoPict="0">
                <anchor moveWithCells="1">
                  <from>
                    <xdr:col>1</xdr:col>
                    <xdr:colOff>1200150</xdr:colOff>
                    <xdr:row>6</xdr:row>
                    <xdr:rowOff>69850</xdr:rowOff>
                  </from>
                  <to>
                    <xdr:col>3</xdr:col>
                    <xdr:colOff>0</xdr:colOff>
                    <xdr:row>7</xdr:row>
                    <xdr:rowOff>0</xdr:rowOff>
                  </to>
                </anchor>
              </controlPr>
            </control>
          </mc:Choice>
        </mc:AlternateContent>
        <mc:AlternateContent xmlns:mc="http://schemas.openxmlformats.org/markup-compatibility/2006">
          <mc:Choice Requires="x14">
            <control shapeId="35605" r:id="rId15" name="Check Box 789">
              <controlPr defaultSize="0" autoFill="0" autoLine="0" autoPict="0">
                <anchor moveWithCells="1">
                  <from>
                    <xdr:col>2</xdr:col>
                    <xdr:colOff>0</xdr:colOff>
                    <xdr:row>14</xdr:row>
                    <xdr:rowOff>57150</xdr:rowOff>
                  </from>
                  <to>
                    <xdr:col>2</xdr:col>
                    <xdr:colOff>2133600</xdr:colOff>
                    <xdr:row>15</xdr:row>
                    <xdr:rowOff>50800</xdr:rowOff>
                  </to>
                </anchor>
              </controlPr>
            </control>
          </mc:Choice>
        </mc:AlternateContent>
        <mc:AlternateContent xmlns:mc="http://schemas.openxmlformats.org/markup-compatibility/2006">
          <mc:Choice Requires="x14">
            <control shapeId="35606" r:id="rId16" name="Check Box 790">
              <controlPr defaultSize="0" autoFill="0" autoLine="0" autoPict="0">
                <anchor moveWithCells="1">
                  <from>
                    <xdr:col>1</xdr:col>
                    <xdr:colOff>965200</xdr:colOff>
                    <xdr:row>15</xdr:row>
                    <xdr:rowOff>69850</xdr:rowOff>
                  </from>
                  <to>
                    <xdr:col>2</xdr:col>
                    <xdr:colOff>3079750</xdr:colOff>
                    <xdr:row>16</xdr:row>
                    <xdr:rowOff>19050</xdr:rowOff>
                  </to>
                </anchor>
              </controlPr>
            </control>
          </mc:Choice>
        </mc:AlternateContent>
        <mc:AlternateContent xmlns:mc="http://schemas.openxmlformats.org/markup-compatibility/2006">
          <mc:Choice Requires="x14">
            <control shapeId="35608" r:id="rId17" name="Check Box 792">
              <controlPr defaultSize="0" autoFill="0" autoLine="0" autoPict="0">
                <anchor moveWithCells="1">
                  <from>
                    <xdr:col>2</xdr:col>
                    <xdr:colOff>0</xdr:colOff>
                    <xdr:row>11</xdr:row>
                    <xdr:rowOff>57150</xdr:rowOff>
                  </from>
                  <to>
                    <xdr:col>2</xdr:col>
                    <xdr:colOff>3067050</xdr:colOff>
                    <xdr:row>12</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B050"/>
    <pageSetUpPr fitToPage="1"/>
  </sheetPr>
  <dimension ref="A1:IU62"/>
  <sheetViews>
    <sheetView showGridLines="0" zoomScale="80" zoomScaleNormal="80" zoomScalePageLayoutView="85" workbookViewId="0">
      <selection sqref="A1:H1"/>
    </sheetView>
  </sheetViews>
  <sheetFormatPr defaultColWidth="0" defaultRowHeight="16.5" customHeight="1" zeroHeight="1"/>
  <cols>
    <col min="1" max="1" width="14.54296875" style="132" customWidth="1"/>
    <col min="2" max="4" width="13.54296875" style="132" customWidth="1"/>
    <col min="5" max="5" width="13.81640625" style="132" customWidth="1"/>
    <col min="6" max="6" width="13.54296875" style="132" customWidth="1"/>
    <col min="7" max="7" width="1.54296875" style="132" customWidth="1"/>
    <col min="8" max="8" width="15.81640625" style="132" bestFit="1" customWidth="1"/>
    <col min="9" max="12" width="13.54296875" style="132" customWidth="1"/>
    <col min="13" max="13" width="9.1796875" style="132" customWidth="1"/>
    <col min="14" max="255" width="9.1796875" style="132" hidden="1" customWidth="1"/>
    <col min="256" max="16384" width="0" style="132" hidden="1"/>
  </cols>
  <sheetData>
    <row r="1" spans="1:13" ht="54.75" customHeight="1">
      <c r="A1" s="1088" t="str">
        <f>Development!$A$3&amp;" Residential Efficiency Program"</f>
        <v>2025 Residential Efficiency Program</v>
      </c>
      <c r="B1" s="1089"/>
      <c r="C1" s="1089"/>
      <c r="D1" s="1089"/>
      <c r="E1" s="1089"/>
      <c r="F1" s="1089"/>
      <c r="G1" s="1089"/>
      <c r="H1" s="1089"/>
      <c r="I1" s="9"/>
      <c r="J1" s="9"/>
      <c r="K1" s="9"/>
      <c r="L1" s="9"/>
    </row>
    <row r="2" spans="1:13" ht="54.75" customHeight="1">
      <c r="A2" s="1090" t="s">
        <v>364</v>
      </c>
      <c r="B2" s="1090"/>
      <c r="C2" s="1090"/>
      <c r="D2" s="1090"/>
      <c r="E2" s="1090"/>
      <c r="F2" s="1090"/>
      <c r="G2" s="1090"/>
      <c r="H2" s="1090"/>
      <c r="I2" s="16"/>
      <c r="J2" s="16"/>
      <c r="K2" s="16"/>
      <c r="L2" s="16"/>
    </row>
    <row r="3" spans="1:13" ht="40" customHeight="1">
      <c r="A3" s="1091" t="s">
        <v>595</v>
      </c>
      <c r="B3" s="1091"/>
      <c r="C3" s="1091"/>
      <c r="D3" s="1091"/>
      <c r="E3" s="1091"/>
      <c r="F3" s="1091"/>
      <c r="G3" s="1091"/>
      <c r="H3" s="1091"/>
      <c r="I3" s="1091"/>
      <c r="J3" s="1091"/>
      <c r="K3" s="1091"/>
      <c r="L3" s="1091"/>
    </row>
    <row r="4" spans="1:13" ht="18.5" thickBot="1">
      <c r="A4" s="1040" t="s">
        <v>129</v>
      </c>
      <c r="B4" s="1040"/>
      <c r="C4" s="1040"/>
      <c r="D4" s="1040"/>
      <c r="E4" s="1040"/>
      <c r="F4" s="1040"/>
      <c r="G4" s="1040"/>
      <c r="H4" s="1040"/>
      <c r="I4" s="1040"/>
      <c r="J4" s="1040"/>
      <c r="K4" s="1040"/>
      <c r="L4" s="1040"/>
    </row>
    <row r="5" spans="1:13" ht="28" customHeight="1">
      <c r="A5" s="1052" t="s">
        <v>10</v>
      </c>
      <c r="B5" s="1052"/>
      <c r="C5" s="1092" t="str">
        <f>IF('Customer Information'!C6="","",'Customer Information'!C6)</f>
        <v/>
      </c>
      <c r="D5" s="1092"/>
      <c r="E5" s="1092"/>
      <c r="F5" s="1092"/>
      <c r="J5" s="285"/>
      <c r="K5" s="1093"/>
      <c r="L5" s="1093"/>
    </row>
    <row r="6" spans="1:13" ht="28" customHeight="1">
      <c r="A6" s="1052" t="s">
        <v>151</v>
      </c>
      <c r="B6" s="1052"/>
      <c r="C6" s="1092" t="str">
        <f>IF('Customer Information'!C7="","",'Customer Information'!C7)</f>
        <v/>
      </c>
      <c r="D6" s="1092"/>
      <c r="E6" s="1092"/>
      <c r="F6" s="1092"/>
      <c r="H6" s="285" t="s">
        <v>0</v>
      </c>
      <c r="I6" s="1095" t="str">
        <f>IF('Customer Information'!I7="","",'Customer Information'!I7)</f>
        <v/>
      </c>
      <c r="J6" s="1095"/>
      <c r="K6" s="285" t="s">
        <v>1</v>
      </c>
      <c r="L6" s="290" t="str">
        <f>IF('Customer Information'!L7="","",'Customer Information'!L7)</f>
        <v/>
      </c>
      <c r="M6" s="71"/>
    </row>
    <row r="7" spans="1:13" ht="28" customHeight="1">
      <c r="A7" s="1056" t="s">
        <v>152</v>
      </c>
      <c r="B7" s="1056"/>
      <c r="C7" s="1092" t="str">
        <f>IF('Customer Information'!C8="","",'Customer Information'!C8)</f>
        <v/>
      </c>
      <c r="D7" s="1092"/>
      <c r="E7" s="1092"/>
      <c r="F7" s="1092"/>
      <c r="H7" s="285" t="s">
        <v>0</v>
      </c>
      <c r="I7" s="1095" t="str">
        <f>IF('Customer Information'!I8="","",'Customer Information'!I8)</f>
        <v/>
      </c>
      <c r="J7" s="1095"/>
      <c r="K7" s="285" t="s">
        <v>1</v>
      </c>
      <c r="L7" s="290" t="str">
        <f>IF('Customer Information'!L8="","",'Customer Information'!L8)</f>
        <v/>
      </c>
    </row>
    <row r="8" spans="1:13" ht="28" customHeight="1">
      <c r="A8" s="1052"/>
      <c r="B8" s="1052"/>
      <c r="C8" s="1092" t="str">
        <f>IF('Customer Information'!C9="","",'Customer Information'!C9)</f>
        <v/>
      </c>
      <c r="D8" s="1092"/>
      <c r="E8" s="1092"/>
      <c r="F8" s="1092"/>
      <c r="I8" s="1058" t="s">
        <v>153</v>
      </c>
      <c r="J8" s="1058"/>
      <c r="K8" s="1094" t="str">
        <f>IF('Customer Information'!K9="","",'Customer Information'!K9)</f>
        <v/>
      </c>
      <c r="L8" s="1094"/>
    </row>
    <row r="9" spans="1:13" ht="28" customHeight="1">
      <c r="A9" s="1052" t="s">
        <v>154</v>
      </c>
      <c r="B9" s="1052"/>
      <c r="C9" s="1092" t="str">
        <f>IF('Customer Information'!C10="","",'Customer Information'!C10)</f>
        <v/>
      </c>
      <c r="D9" s="1092"/>
      <c r="E9" s="1092"/>
      <c r="F9" s="1092"/>
      <c r="I9" s="1038" t="s">
        <v>155</v>
      </c>
      <c r="J9" s="1038"/>
      <c r="K9" s="1094" t="str">
        <f>IF('Customer Information'!K10="","",'Customer Information'!K10)</f>
        <v/>
      </c>
      <c r="L9" s="1094"/>
    </row>
    <row r="10" spans="1:13" ht="28" customHeight="1">
      <c r="A10" s="1052" t="s">
        <v>4</v>
      </c>
      <c r="B10" s="1052"/>
      <c r="C10" s="1092" t="str">
        <f>IF('Customer Information'!C11="","",'Customer Information'!C11)</f>
        <v/>
      </c>
      <c r="D10" s="1092"/>
      <c r="E10" s="1092"/>
      <c r="F10" s="1092"/>
      <c r="I10" s="1038"/>
      <c r="J10" s="1038"/>
      <c r="K10" s="1096"/>
      <c r="L10" s="1096"/>
    </row>
    <row r="11" spans="1:13" ht="14">
      <c r="A11" s="284"/>
      <c r="B11" s="284"/>
    </row>
    <row r="12" spans="1:13" ht="3" customHeight="1">
      <c r="A12" s="69"/>
      <c r="B12" s="69"/>
      <c r="C12" s="69"/>
      <c r="D12" s="69"/>
      <c r="E12" s="69"/>
      <c r="F12" s="69"/>
      <c r="G12" s="69"/>
      <c r="H12" s="69"/>
      <c r="I12" s="69"/>
      <c r="J12" s="69"/>
      <c r="K12" s="69"/>
      <c r="L12" s="69"/>
    </row>
    <row r="13" spans="1:13" ht="18.5" thickBot="1">
      <c r="A13" s="1040" t="s">
        <v>6</v>
      </c>
      <c r="B13" s="1040"/>
      <c r="C13" s="1040"/>
      <c r="D13" s="1040"/>
      <c r="E13" s="1040"/>
      <c r="F13" s="1040"/>
      <c r="G13" s="1040"/>
      <c r="H13" s="1040"/>
      <c r="I13" s="1040"/>
      <c r="J13" s="1040"/>
      <c r="K13" s="1040"/>
      <c r="L13" s="1040"/>
    </row>
    <row r="14" spans="1:13" ht="23.25" customHeight="1">
      <c r="A14" s="1052" t="s">
        <v>7</v>
      </c>
      <c r="B14" s="1052"/>
      <c r="C14" s="1095" t="str">
        <f>IF('Customer Information'!C26="","",'Customer Information'!C26)</f>
        <v/>
      </c>
      <c r="D14" s="1095"/>
      <c r="E14" s="1095"/>
      <c r="F14" s="1095"/>
      <c r="G14" s="129"/>
      <c r="H14" s="129"/>
      <c r="I14" s="1097"/>
      <c r="J14" s="1097"/>
      <c r="K14" s="1097"/>
      <c r="L14" s="129"/>
    </row>
    <row r="15" spans="1:13" ht="23.25" customHeight="1">
      <c r="A15" s="1052" t="s">
        <v>8</v>
      </c>
      <c r="B15" s="1052"/>
      <c r="C15" s="1095" t="str">
        <f>IF('Customer Information'!C27="","",'Customer Information'!C27)</f>
        <v/>
      </c>
      <c r="D15" s="1095"/>
      <c r="E15" s="1095"/>
      <c r="F15" s="1095"/>
      <c r="H15" s="282" t="s">
        <v>0</v>
      </c>
      <c r="I15" s="1095" t="str">
        <f>IF('Customer Information'!I27="","",'Customer Information'!I27)</f>
        <v/>
      </c>
      <c r="J15" s="1095"/>
      <c r="K15" s="285" t="s">
        <v>1</v>
      </c>
      <c r="L15" s="290" t="str">
        <f>IF('Customer Information'!L27="","",'Customer Information'!L27)</f>
        <v/>
      </c>
      <c r="M15" s="71"/>
    </row>
    <row r="16" spans="1:13" ht="23.25" customHeight="1">
      <c r="A16" s="1052" t="s">
        <v>3</v>
      </c>
      <c r="B16" s="1052"/>
      <c r="C16" s="1095" t="str">
        <f>IF('Customer Information'!C28="","",'Customer Information'!C28)</f>
        <v/>
      </c>
      <c r="D16" s="1095"/>
      <c r="E16" s="1095"/>
      <c r="F16" s="1095"/>
      <c r="H16" s="70" t="s">
        <v>2</v>
      </c>
      <c r="I16" s="1094" t="str">
        <f>IF('Customer Information'!K28="","",'Customer Information'!K28)</f>
        <v/>
      </c>
      <c r="J16" s="1094"/>
      <c r="K16" s="71"/>
      <c r="L16" s="71"/>
    </row>
    <row r="17" spans="1:12" ht="23.25" customHeight="1">
      <c r="A17" s="1052" t="s">
        <v>156</v>
      </c>
      <c r="B17" s="1052"/>
      <c r="C17" s="1095" t="str">
        <f>IF('Customer Information'!C29="","",'Customer Information'!C29)</f>
        <v/>
      </c>
      <c r="D17" s="1095"/>
      <c r="E17" s="1095"/>
      <c r="F17" s="1095"/>
      <c r="H17" s="282" t="s">
        <v>155</v>
      </c>
      <c r="I17" s="1094" t="str">
        <f>IF('Customer Information'!K29="","",'Customer Information'!K29)</f>
        <v/>
      </c>
      <c r="J17" s="1094"/>
      <c r="K17" s="71"/>
      <c r="L17" s="71"/>
    </row>
    <row r="18" spans="1:12" ht="23.25" customHeight="1">
      <c r="A18" s="1052" t="s">
        <v>4</v>
      </c>
      <c r="B18" s="1052"/>
      <c r="C18" s="1095" t="str">
        <f>IF('Customer Information'!C30="","",'Customer Information'!C30)</f>
        <v/>
      </c>
      <c r="D18" s="1095"/>
      <c r="E18" s="1095"/>
      <c r="F18" s="1095"/>
      <c r="H18" s="282" t="s">
        <v>5</v>
      </c>
      <c r="I18" s="1094" t="str">
        <f>IF('Customer Information'!K30="","",'Customer Information'!K30)</f>
        <v/>
      </c>
      <c r="J18" s="1094"/>
      <c r="K18" s="71"/>
      <c r="L18" s="71"/>
    </row>
    <row r="19" spans="1:12" ht="5.25" customHeight="1">
      <c r="A19" s="282"/>
      <c r="B19" s="282"/>
      <c r="C19" s="289"/>
      <c r="D19" s="289"/>
      <c r="E19" s="289"/>
      <c r="F19" s="289"/>
      <c r="H19" s="282"/>
      <c r="I19" s="289"/>
      <c r="J19" s="289"/>
      <c r="K19" s="289"/>
      <c r="L19" s="289"/>
    </row>
    <row r="20" spans="1:12" ht="23.25" customHeight="1">
      <c r="A20" s="282"/>
      <c r="B20" s="282"/>
      <c r="C20" s="289"/>
      <c r="D20" s="289"/>
      <c r="E20" s="289"/>
      <c r="F20" s="289"/>
      <c r="H20" s="282"/>
      <c r="I20" s="289"/>
      <c r="J20" s="289"/>
      <c r="K20" s="289"/>
      <c r="L20" s="289"/>
    </row>
    <row r="21" spans="1:12" ht="18.5" thickBot="1">
      <c r="A21" s="1098" t="s">
        <v>157</v>
      </c>
      <c r="B21" s="1098"/>
      <c r="C21" s="1098"/>
      <c r="D21" s="1098"/>
      <c r="E21" s="1098"/>
      <c r="F21" s="1098"/>
      <c r="G21" s="1098"/>
      <c r="H21" s="1098"/>
      <c r="I21" s="1098"/>
      <c r="J21" s="1098"/>
      <c r="K21" s="1098"/>
      <c r="L21" s="1098"/>
    </row>
    <row r="22" spans="1:12" ht="22.5" customHeight="1">
      <c r="A22" s="72"/>
      <c r="B22" s="72"/>
      <c r="C22" s="72"/>
      <c r="D22" s="72"/>
      <c r="E22" s="72"/>
      <c r="F22" s="72"/>
      <c r="G22" s="72"/>
      <c r="H22" s="72"/>
      <c r="I22" s="72"/>
      <c r="J22" s="73" t="s">
        <v>317</v>
      </c>
      <c r="K22" s="1100" t="e">
        <f>IF('Customer Information'!#REF!="","",'Customer Information'!#REF!)</f>
        <v>#REF!</v>
      </c>
      <c r="L22" s="1100"/>
    </row>
    <row r="23" spans="1:12" ht="21.75" customHeight="1"/>
    <row r="24" spans="1:12" ht="200.15" customHeight="1">
      <c r="A24" s="130"/>
      <c r="B24" s="1099" t="s">
        <v>1459</v>
      </c>
      <c r="C24" s="1099"/>
      <c r="D24" s="1099"/>
      <c r="E24" s="1099"/>
      <c r="F24" s="1099"/>
      <c r="G24" s="1099"/>
      <c r="H24" s="1099"/>
      <c r="I24" s="1099"/>
      <c r="J24" s="1099"/>
      <c r="K24" s="1099"/>
      <c r="L24" s="1099"/>
    </row>
    <row r="25" spans="1:12" ht="8.15" customHeight="1"/>
    <row r="26" spans="1:12" ht="15" customHeight="1">
      <c r="A26" s="280"/>
      <c r="B26" s="280"/>
      <c r="J26" s="70"/>
      <c r="K26" s="37"/>
      <c r="L26" s="37"/>
    </row>
    <row r="27" spans="1:12" ht="36.75" customHeight="1">
      <c r="A27" s="1046" t="s">
        <v>158</v>
      </c>
      <c r="B27" s="1047"/>
      <c r="C27" s="1048"/>
      <c r="D27" s="1048"/>
      <c r="E27" s="1048"/>
      <c r="F27" s="1048"/>
      <c r="G27" s="1048"/>
      <c r="H27" s="1048"/>
      <c r="I27" s="1048"/>
    </row>
    <row r="28" spans="1:12" ht="5.5" customHeight="1">
      <c r="A28" s="280"/>
      <c r="B28" s="281"/>
      <c r="C28" s="283"/>
      <c r="D28" s="283"/>
      <c r="E28" s="283"/>
      <c r="F28" s="283"/>
      <c r="G28" s="283"/>
      <c r="H28" s="283"/>
      <c r="I28" s="283"/>
    </row>
    <row r="29" spans="1:12" ht="47.25" customHeight="1">
      <c r="A29" s="1046" t="s">
        <v>176</v>
      </c>
      <c r="B29" s="1047"/>
      <c r="C29" s="1049"/>
      <c r="D29" s="1049"/>
      <c r="E29" s="1049"/>
      <c r="F29" s="1049"/>
      <c r="G29" s="1049"/>
      <c r="H29" s="1049"/>
      <c r="I29" s="1049"/>
      <c r="J29" s="285" t="s">
        <v>9</v>
      </c>
      <c r="K29" s="1050"/>
      <c r="L29" s="1051"/>
    </row>
    <row r="30" spans="1:12" ht="16.399999999999999" customHeight="1">
      <c r="A30" s="280"/>
      <c r="B30" s="1101"/>
      <c r="C30" s="1101"/>
      <c r="D30" s="1102"/>
      <c r="E30" s="1102"/>
      <c r="F30" s="1102"/>
      <c r="G30" s="1101"/>
      <c r="H30" s="1101"/>
      <c r="I30" s="1101"/>
      <c r="J30" s="1102"/>
      <c r="K30" s="1102"/>
      <c r="L30" s="85"/>
    </row>
    <row r="31" spans="1:12" ht="36.75" customHeight="1">
      <c r="A31" s="1046" t="s">
        <v>159</v>
      </c>
      <c r="B31" s="1047"/>
      <c r="C31" s="1103" t="str">
        <f>IF('Customer Information'!C28="","",'Customer Information'!C28)</f>
        <v/>
      </c>
      <c r="D31" s="1103"/>
      <c r="E31" s="1103"/>
      <c r="F31" s="1103"/>
      <c r="G31" s="1103"/>
      <c r="H31" s="1103"/>
      <c r="I31" s="1103"/>
      <c r="L31" s="85"/>
    </row>
    <row r="32" spans="1:12" ht="5.5" customHeight="1">
      <c r="A32" s="280"/>
      <c r="B32" s="281"/>
      <c r="C32" s="283"/>
      <c r="D32" s="283"/>
      <c r="E32" s="283"/>
      <c r="F32" s="283"/>
      <c r="G32" s="283"/>
      <c r="H32" s="283"/>
      <c r="I32" s="283"/>
      <c r="L32" s="85"/>
    </row>
    <row r="33" spans="1:12" ht="58.4" customHeight="1">
      <c r="A33" s="1046" t="s">
        <v>160</v>
      </c>
      <c r="B33" s="1047"/>
      <c r="C33" s="1049"/>
      <c r="D33" s="1049"/>
      <c r="E33" s="1049"/>
      <c r="F33" s="1049"/>
      <c r="G33" s="1049"/>
      <c r="H33" s="1049"/>
      <c r="I33" s="1049"/>
      <c r="J33" s="285" t="s">
        <v>9</v>
      </c>
      <c r="K33" s="1104"/>
      <c r="L33" s="1105"/>
    </row>
    <row r="34" spans="1:12" ht="14"/>
    <row r="35" spans="1:12" ht="14"/>
    <row r="36" spans="1:12" ht="14"/>
    <row r="37" spans="1:12" ht="14"/>
    <row r="38" spans="1:12" ht="14"/>
    <row r="39" spans="1:12" ht="14"/>
    <row r="40" spans="1:12" ht="14"/>
    <row r="41" spans="1:12" ht="16.5" customHeight="1">
      <c r="A41" s="74" t="s">
        <v>165</v>
      </c>
      <c r="B41" s="75" t="str">
        <f>Development!$A$4&amp;"_"&amp;Development!$A$2</f>
        <v>01.01.2025_1.0</v>
      </c>
      <c r="C41" s="76"/>
      <c r="D41" s="1041"/>
      <c r="E41" s="1041"/>
      <c r="F41" s="1041"/>
      <c r="G41" s="1042"/>
      <c r="H41" s="1042"/>
      <c r="I41" s="1042"/>
      <c r="J41" s="77"/>
      <c r="K41" s="78" t="s">
        <v>167</v>
      </c>
      <c r="L41" s="79" t="str">
        <f>Development!$A$4</f>
        <v>01.01.2025</v>
      </c>
    </row>
    <row r="42" spans="1:12" ht="16.5" customHeight="1"/>
    <row r="43" spans="1:12" ht="16.5" customHeight="1"/>
    <row r="44" spans="1:12" ht="16.5" customHeight="1"/>
    <row r="45" spans="1:12" ht="16.5" customHeight="1"/>
    <row r="46" spans="1:12" ht="16.5" customHeight="1"/>
    <row r="47" spans="1:12" ht="16.5" customHeight="1"/>
    <row r="48" spans="1:12"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row r="62" ht="16.5" customHeight="1"/>
  </sheetData>
  <sheetProtection algorithmName="SHA-512" hashValue="ul4HZTSUMBigPeIcXAWNjpyvQu4nDySwxmIX4QOtxuvSqO7UwYCs+lAGDcjh9ld8zfySq4lLfKP+6G/v+tuCyQ==" saltValue="OYYr9BahJqz53C7ts2PpiA==" spinCount="100000" sheet="1" objects="1" scenarios="1"/>
  <mergeCells count="60">
    <mergeCell ref="D41:F41"/>
    <mergeCell ref="G41:I41"/>
    <mergeCell ref="I18:J18"/>
    <mergeCell ref="K22:L22"/>
    <mergeCell ref="A29:B29"/>
    <mergeCell ref="C29:I29"/>
    <mergeCell ref="K29:L29"/>
    <mergeCell ref="B30:C30"/>
    <mergeCell ref="D30:F30"/>
    <mergeCell ref="G30:I30"/>
    <mergeCell ref="J30:K30"/>
    <mergeCell ref="A31:B31"/>
    <mergeCell ref="C31:I31"/>
    <mergeCell ref="A33:B33"/>
    <mergeCell ref="C33:I33"/>
    <mergeCell ref="K33:L33"/>
    <mergeCell ref="A21:L21"/>
    <mergeCell ref="B24:L24"/>
    <mergeCell ref="A27:B27"/>
    <mergeCell ref="C27:I27"/>
    <mergeCell ref="A17:B17"/>
    <mergeCell ref="C17:F17"/>
    <mergeCell ref="A18:B18"/>
    <mergeCell ref="C18:F18"/>
    <mergeCell ref="I17:J17"/>
    <mergeCell ref="A15:B15"/>
    <mergeCell ref="C15:F15"/>
    <mergeCell ref="I15:J15"/>
    <mergeCell ref="A16:B16"/>
    <mergeCell ref="C16:F16"/>
    <mergeCell ref="I16:J16"/>
    <mergeCell ref="K10:L10"/>
    <mergeCell ref="A13:L13"/>
    <mergeCell ref="A14:B14"/>
    <mergeCell ref="C14:F14"/>
    <mergeCell ref="I14:K14"/>
    <mergeCell ref="A10:B10"/>
    <mergeCell ref="C10:F10"/>
    <mergeCell ref="I10:J10"/>
    <mergeCell ref="C9:F9"/>
    <mergeCell ref="I9:J9"/>
    <mergeCell ref="K9:L9"/>
    <mergeCell ref="A6:B6"/>
    <mergeCell ref="C6:F6"/>
    <mergeCell ref="I6:J6"/>
    <mergeCell ref="A7:B7"/>
    <mergeCell ref="C7:F7"/>
    <mergeCell ref="I7:J7"/>
    <mergeCell ref="C8:F8"/>
    <mergeCell ref="I8:J8"/>
    <mergeCell ref="K8:L8"/>
    <mergeCell ref="A9:B9"/>
    <mergeCell ref="A8:B8"/>
    <mergeCell ref="A1:H1"/>
    <mergeCell ref="A2:H2"/>
    <mergeCell ref="A3:L3"/>
    <mergeCell ref="A4:L4"/>
    <mergeCell ref="A5:B5"/>
    <mergeCell ref="C5:F5"/>
    <mergeCell ref="K5:L5"/>
  </mergeCells>
  <printOptions horizontalCentered="1"/>
  <pageMargins left="0" right="0" top="0.25" bottom="0.25" header="0.3" footer="0.3"/>
  <pageSetup scale="64" orientation="portrait" r:id="rId1"/>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tabColor rgb="FF00B050"/>
  </sheetPr>
  <dimension ref="A1:IV53"/>
  <sheetViews>
    <sheetView showGridLines="0" zoomScaleNormal="100" workbookViewId="0">
      <selection sqref="A1:G1"/>
    </sheetView>
  </sheetViews>
  <sheetFormatPr defaultColWidth="0" defaultRowHeight="0" customHeight="1" zeroHeight="1"/>
  <cols>
    <col min="1" max="1" width="4.54296875" style="225" customWidth="1"/>
    <col min="2" max="2" width="11.453125" style="132" customWidth="1"/>
    <col min="3" max="3" width="23.453125" style="132" customWidth="1"/>
    <col min="4" max="4" width="18.81640625" style="132" customWidth="1"/>
    <col min="5" max="5" width="14.54296875" style="132" customWidth="1"/>
    <col min="6" max="6" width="13.81640625" style="132" customWidth="1"/>
    <col min="7" max="7" width="45.81640625" style="132" customWidth="1"/>
    <col min="8" max="11" width="11.453125" style="132" customWidth="1"/>
    <col min="12" max="12" width="17.1796875" style="132" customWidth="1"/>
    <col min="13" max="16384" width="0" style="132" hidden="1"/>
  </cols>
  <sheetData>
    <row r="1" spans="1:256" s="162" customFormat="1" ht="60" customHeight="1">
      <c r="A1" s="1108" t="str">
        <f>'Customer Information'!A1</f>
        <v>2025 Commercial Efficiency Program</v>
      </c>
      <c r="B1" s="1108"/>
      <c r="C1" s="1108"/>
      <c r="D1" s="1108"/>
      <c r="E1" s="1108"/>
      <c r="F1" s="1108"/>
      <c r="G1" s="1108"/>
      <c r="H1" s="12"/>
      <c r="I1" s="12"/>
      <c r="J1" s="12"/>
      <c r="K1" s="12"/>
      <c r="L1" s="12"/>
      <c r="M1" s="10"/>
      <c r="N1" s="10"/>
      <c r="O1" s="10"/>
      <c r="P1" s="10"/>
      <c r="Q1" s="10"/>
      <c r="R1" s="10"/>
      <c r="S1" s="10"/>
      <c r="V1" s="1107"/>
      <c r="W1" s="1107"/>
      <c r="X1" s="1107"/>
      <c r="Y1" s="1107"/>
      <c r="Z1" s="1107"/>
      <c r="AA1" s="1107"/>
      <c r="AB1" s="1107"/>
      <c r="AC1" s="1107"/>
      <c r="AD1" s="1107"/>
      <c r="AE1" s="1107"/>
      <c r="AF1" s="1107"/>
      <c r="AG1" s="1107"/>
      <c r="AH1" s="1107"/>
      <c r="AI1" s="1107"/>
      <c r="AJ1" s="1107"/>
      <c r="AK1" s="1107"/>
      <c r="AL1" s="1107"/>
      <c r="AM1" s="1107"/>
      <c r="AN1" s="1107"/>
      <c r="AO1" s="1107"/>
      <c r="AP1" s="1107"/>
      <c r="AQ1" s="1107"/>
      <c r="AR1" s="1107"/>
      <c r="AS1" s="1107"/>
      <c r="AT1" s="1107"/>
      <c r="AU1" s="1107"/>
      <c r="AV1" s="1107"/>
      <c r="AW1" s="1107"/>
      <c r="AX1" s="1107"/>
      <c r="AY1" s="1107"/>
      <c r="AZ1" s="1107"/>
      <c r="BA1" s="1107"/>
      <c r="BB1" s="1107"/>
      <c r="BC1" s="1107"/>
      <c r="BD1" s="1107"/>
      <c r="BE1" s="1107"/>
      <c r="BF1" s="1107"/>
      <c r="BG1" s="1107"/>
      <c r="BH1" s="1107"/>
      <c r="BI1" s="1107"/>
      <c r="BJ1" s="1107"/>
      <c r="BK1" s="1107"/>
      <c r="BL1" s="1107"/>
      <c r="BM1" s="1107"/>
      <c r="BN1" s="1107"/>
      <c r="BO1" s="1107"/>
      <c r="BP1" s="1107"/>
      <c r="BQ1" s="1107"/>
      <c r="BR1" s="1107"/>
      <c r="BS1" s="1107"/>
      <c r="BT1" s="1107"/>
      <c r="BU1" s="1107"/>
      <c r="BV1" s="1107"/>
      <c r="BW1" s="1107"/>
      <c r="BX1" s="1107"/>
      <c r="BY1" s="1107"/>
      <c r="BZ1" s="1107"/>
      <c r="CA1" s="1107"/>
      <c r="CB1" s="1107"/>
      <c r="CC1" s="1107"/>
      <c r="CD1" s="1107"/>
      <c r="CE1" s="1107"/>
      <c r="CF1" s="1107"/>
      <c r="CG1" s="1107"/>
      <c r="CH1" s="1107"/>
      <c r="CI1" s="1107"/>
      <c r="CJ1" s="1107"/>
      <c r="CK1" s="1107"/>
      <c r="CL1" s="1107"/>
      <c r="CM1" s="1107"/>
      <c r="CN1" s="1107"/>
      <c r="CO1" s="1107"/>
      <c r="CP1" s="1107"/>
      <c r="CQ1" s="1107"/>
      <c r="CR1" s="1107"/>
      <c r="CS1" s="1107"/>
      <c r="CT1" s="1107"/>
      <c r="CU1" s="1107"/>
      <c r="CV1" s="1107"/>
      <c r="CW1" s="1107"/>
      <c r="CX1" s="1107"/>
      <c r="CY1" s="1107"/>
      <c r="CZ1" s="1107"/>
      <c r="DA1" s="1107"/>
      <c r="DB1" s="1107"/>
      <c r="DC1" s="1107"/>
      <c r="DD1" s="1107"/>
      <c r="DE1" s="1107"/>
      <c r="DF1" s="1107"/>
      <c r="DG1" s="1107"/>
      <c r="DH1" s="1107"/>
      <c r="DI1" s="1107"/>
      <c r="DJ1" s="1107"/>
      <c r="DK1" s="1107"/>
      <c r="DL1" s="1107"/>
      <c r="DM1" s="1107"/>
      <c r="DN1" s="1107"/>
      <c r="DO1" s="1107"/>
      <c r="DP1" s="1107"/>
      <c r="DQ1" s="1107"/>
      <c r="DR1" s="1107"/>
      <c r="DS1" s="1107"/>
      <c r="DT1" s="1107"/>
      <c r="DU1" s="1107"/>
      <c r="DV1" s="1107"/>
      <c r="DW1" s="1107"/>
      <c r="DX1" s="1107"/>
      <c r="DY1" s="1107"/>
      <c r="DZ1" s="1107"/>
      <c r="EA1" s="1107"/>
      <c r="EB1" s="1107"/>
      <c r="EC1" s="1107"/>
      <c r="ED1" s="1107"/>
      <c r="EE1" s="1107"/>
      <c r="EF1" s="1107"/>
      <c r="EG1" s="1107"/>
      <c r="EH1" s="1107"/>
      <c r="EI1" s="1107"/>
      <c r="EJ1" s="1107"/>
      <c r="EK1" s="1107"/>
      <c r="EL1" s="1107"/>
      <c r="EM1" s="1107"/>
      <c r="EN1" s="1107"/>
      <c r="EO1" s="1107"/>
      <c r="EP1" s="1107"/>
      <c r="EQ1" s="1107"/>
      <c r="ER1" s="1107"/>
      <c r="ES1" s="1107"/>
      <c r="ET1" s="1107"/>
      <c r="EU1" s="1107"/>
      <c r="EV1" s="1107"/>
      <c r="EW1" s="1107"/>
      <c r="EX1" s="1107"/>
      <c r="EY1" s="1107"/>
      <c r="EZ1" s="1107"/>
      <c r="FA1" s="1107"/>
      <c r="FB1" s="1107"/>
      <c r="FC1" s="1107"/>
      <c r="FD1" s="1107"/>
      <c r="FE1" s="1107"/>
      <c r="FF1" s="1107"/>
      <c r="FG1" s="1107"/>
      <c r="FH1" s="1107"/>
      <c r="FI1" s="1107"/>
      <c r="FJ1" s="1107"/>
      <c r="FK1" s="1107"/>
      <c r="FL1" s="1107"/>
      <c r="FM1" s="1107"/>
      <c r="FN1" s="1107"/>
      <c r="FO1" s="1107"/>
      <c r="FP1" s="1107"/>
      <c r="FQ1" s="1107"/>
      <c r="FR1" s="1107"/>
      <c r="FS1" s="1107"/>
      <c r="FT1" s="1107"/>
      <c r="FU1" s="1107"/>
      <c r="FV1" s="1107"/>
      <c r="FW1" s="1107"/>
      <c r="FX1" s="1107"/>
      <c r="FY1" s="1107"/>
      <c r="FZ1" s="1107"/>
      <c r="GA1" s="1107"/>
      <c r="GB1" s="1107"/>
      <c r="GC1" s="1107"/>
      <c r="GD1" s="1107"/>
      <c r="GE1" s="1107"/>
      <c r="GF1" s="1107"/>
      <c r="GG1" s="1107"/>
      <c r="GH1" s="1107"/>
      <c r="GI1" s="1107"/>
      <c r="GJ1" s="1107"/>
      <c r="GK1" s="1107"/>
      <c r="GL1" s="1107"/>
      <c r="GM1" s="1107"/>
      <c r="GN1" s="1107"/>
      <c r="GO1" s="1107"/>
      <c r="GP1" s="1107"/>
      <c r="GQ1" s="1107"/>
      <c r="GR1" s="1107"/>
      <c r="GS1" s="1107"/>
      <c r="GT1" s="1107"/>
      <c r="GU1" s="1107"/>
      <c r="GV1" s="1107"/>
      <c r="GW1" s="1107"/>
      <c r="GX1" s="1107"/>
      <c r="GY1" s="1107"/>
      <c r="GZ1" s="1107"/>
      <c r="HA1" s="1107"/>
      <c r="HB1" s="1107"/>
      <c r="HC1" s="1107"/>
      <c r="HD1" s="1107"/>
      <c r="HE1" s="1107"/>
      <c r="HF1" s="1107"/>
      <c r="HG1" s="1107"/>
      <c r="HH1" s="1107"/>
      <c r="HI1" s="1107"/>
      <c r="HJ1" s="1107"/>
      <c r="HK1" s="1107"/>
      <c r="HL1" s="1107"/>
      <c r="HM1" s="1107"/>
      <c r="HN1" s="1107"/>
      <c r="HO1" s="1107"/>
      <c r="HP1" s="1107"/>
      <c r="HQ1" s="1107"/>
      <c r="HR1" s="1107"/>
      <c r="HS1" s="1107"/>
      <c r="HT1" s="1107"/>
      <c r="HU1" s="1107"/>
      <c r="HV1" s="1107"/>
      <c r="HW1" s="1107"/>
      <c r="HX1" s="1107"/>
      <c r="HY1" s="1107"/>
      <c r="HZ1" s="1107"/>
      <c r="IA1" s="1107"/>
      <c r="IB1" s="1107"/>
      <c r="IC1" s="1107"/>
      <c r="ID1" s="1107"/>
      <c r="IE1" s="1107"/>
      <c r="IF1" s="1107"/>
      <c r="IG1" s="1107"/>
      <c r="IH1" s="1107"/>
      <c r="II1" s="1107"/>
      <c r="IJ1" s="1107"/>
      <c r="IK1" s="1107"/>
      <c r="IL1" s="1107"/>
      <c r="IM1" s="1107"/>
      <c r="IN1" s="1107"/>
      <c r="IO1" s="1107"/>
      <c r="IP1" s="1107"/>
      <c r="IQ1" s="1107"/>
      <c r="IR1" s="1107"/>
      <c r="IS1" s="1107"/>
      <c r="IT1" s="1107"/>
      <c r="IU1" s="1107"/>
      <c r="IV1" s="1107"/>
    </row>
    <row r="2" spans="1:256" s="162" customFormat="1" ht="60" customHeight="1">
      <c r="A2" s="1110" t="str">
        <f>'Customer Information'!A2:H2</f>
        <v>Commercial Weatherization Rebate Application, Version 1.0</v>
      </c>
      <c r="B2" s="1110"/>
      <c r="C2" s="1110"/>
      <c r="D2" s="1110"/>
      <c r="E2" s="1110"/>
      <c r="F2" s="1110"/>
      <c r="G2" s="1110"/>
      <c r="H2" s="716"/>
      <c r="I2" s="716"/>
      <c r="J2" s="716"/>
      <c r="K2" s="716"/>
      <c r="L2" s="716"/>
      <c r="M2" s="11"/>
      <c r="N2" s="11"/>
      <c r="O2" s="11"/>
      <c r="P2" s="11"/>
      <c r="Q2" s="11"/>
      <c r="R2" s="11"/>
      <c r="S2" s="11"/>
      <c r="T2" s="224"/>
      <c r="U2" s="224"/>
      <c r="V2" s="1106"/>
      <c r="W2" s="1106"/>
      <c r="X2" s="1106"/>
      <c r="Y2" s="1106"/>
      <c r="Z2" s="1106"/>
      <c r="AA2" s="1106"/>
      <c r="AB2" s="1106"/>
      <c r="AC2" s="1106"/>
      <c r="AD2" s="1106"/>
      <c r="AE2" s="1106"/>
      <c r="AF2" s="1106"/>
      <c r="AG2" s="1106"/>
      <c r="AH2" s="1106"/>
      <c r="AI2" s="1106"/>
      <c r="AJ2" s="1106"/>
      <c r="AK2" s="1106"/>
      <c r="AL2" s="1106"/>
      <c r="AM2" s="1106"/>
      <c r="AN2" s="1106"/>
      <c r="AO2" s="1106"/>
      <c r="AP2" s="1106"/>
      <c r="AQ2" s="1106"/>
      <c r="AR2" s="1106"/>
      <c r="AS2" s="1106"/>
      <c r="AT2" s="1106"/>
      <c r="AU2" s="1106"/>
      <c r="AV2" s="1106"/>
      <c r="AW2" s="1106"/>
      <c r="AX2" s="1106"/>
      <c r="AY2" s="1106"/>
      <c r="AZ2" s="1106"/>
      <c r="BA2" s="1106"/>
      <c r="BB2" s="1106"/>
      <c r="BC2" s="1106"/>
      <c r="BD2" s="1106"/>
      <c r="BE2" s="1106"/>
      <c r="BF2" s="1106"/>
      <c r="BG2" s="1106"/>
      <c r="BH2" s="1106"/>
      <c r="BI2" s="1106"/>
      <c r="BJ2" s="1106"/>
      <c r="BK2" s="1106"/>
      <c r="BL2" s="1106"/>
      <c r="BM2" s="1106"/>
      <c r="BN2" s="1106"/>
      <c r="BO2" s="1106"/>
      <c r="BP2" s="1106"/>
      <c r="BQ2" s="1106"/>
      <c r="BR2" s="1106"/>
      <c r="BS2" s="1106"/>
      <c r="BT2" s="1106"/>
      <c r="BU2" s="1106"/>
      <c r="BV2" s="1106"/>
      <c r="BW2" s="1106"/>
      <c r="BX2" s="1106"/>
      <c r="BY2" s="1106"/>
      <c r="BZ2" s="1106"/>
      <c r="CA2" s="1106"/>
      <c r="CB2" s="1106"/>
      <c r="CC2" s="1106"/>
      <c r="CD2" s="1106"/>
      <c r="CE2" s="1106"/>
      <c r="CF2" s="1106"/>
      <c r="CG2" s="1106"/>
      <c r="CH2" s="1106"/>
      <c r="CI2" s="1106"/>
      <c r="CJ2" s="1106"/>
      <c r="CK2" s="1106"/>
      <c r="CL2" s="1106"/>
      <c r="CM2" s="1106"/>
      <c r="CN2" s="1106"/>
      <c r="CO2" s="1106"/>
      <c r="CP2" s="1106"/>
      <c r="CQ2" s="1106"/>
      <c r="CR2" s="1106"/>
      <c r="CS2" s="1106"/>
      <c r="CT2" s="1106"/>
      <c r="CU2" s="1106"/>
      <c r="CV2" s="1106"/>
      <c r="CW2" s="1106"/>
      <c r="CX2" s="1106"/>
      <c r="CY2" s="1106"/>
      <c r="CZ2" s="1106"/>
      <c r="DA2" s="1106"/>
      <c r="DB2" s="1106"/>
      <c r="DC2" s="1106"/>
      <c r="DD2" s="1106"/>
      <c r="DE2" s="1106"/>
      <c r="DF2" s="1106"/>
      <c r="DG2" s="1106"/>
      <c r="DH2" s="1106"/>
      <c r="DI2" s="1106"/>
      <c r="DJ2" s="1106"/>
      <c r="DK2" s="1106"/>
      <c r="DL2" s="1106"/>
      <c r="DM2" s="1106"/>
      <c r="DN2" s="1106"/>
      <c r="DO2" s="1106"/>
      <c r="DP2" s="1106"/>
      <c r="DQ2" s="1106"/>
      <c r="DR2" s="1106"/>
      <c r="DS2" s="1106"/>
      <c r="DT2" s="1106"/>
      <c r="DU2" s="1106"/>
      <c r="DV2" s="1106"/>
      <c r="DW2" s="1106"/>
      <c r="DX2" s="1106"/>
      <c r="DY2" s="1106"/>
      <c r="DZ2" s="1106"/>
      <c r="EA2" s="1106"/>
      <c r="EB2" s="1106"/>
      <c r="EC2" s="1106"/>
      <c r="ED2" s="1106"/>
      <c r="EE2" s="1106"/>
      <c r="EF2" s="1106"/>
      <c r="EG2" s="1106"/>
      <c r="EH2" s="1106"/>
      <c r="EI2" s="1106"/>
      <c r="EJ2" s="1106"/>
      <c r="EK2" s="1106"/>
      <c r="EL2" s="1106"/>
      <c r="EM2" s="1106"/>
      <c r="EN2" s="1106"/>
      <c r="EO2" s="1106"/>
      <c r="EP2" s="1106"/>
      <c r="EQ2" s="1106"/>
      <c r="ER2" s="1106"/>
      <c r="ES2" s="1106"/>
      <c r="ET2" s="1106"/>
      <c r="EU2" s="1106"/>
      <c r="EV2" s="1106"/>
      <c r="EW2" s="1106"/>
      <c r="EX2" s="1106"/>
      <c r="EY2" s="1106"/>
      <c r="EZ2" s="1106"/>
      <c r="FA2" s="1106"/>
      <c r="FB2" s="1106"/>
      <c r="FC2" s="1106"/>
      <c r="FD2" s="1106"/>
      <c r="FE2" s="1106"/>
      <c r="FF2" s="1106"/>
      <c r="FG2" s="1106"/>
      <c r="FH2" s="1106"/>
      <c r="FI2" s="1106"/>
      <c r="FJ2" s="1106"/>
      <c r="FK2" s="1106"/>
      <c r="FL2" s="1106"/>
      <c r="FM2" s="1106"/>
      <c r="FN2" s="1106"/>
      <c r="FO2" s="1106"/>
      <c r="FP2" s="1106"/>
      <c r="FQ2" s="1106"/>
      <c r="FR2" s="1106"/>
      <c r="FS2" s="1106"/>
      <c r="FT2" s="1106"/>
      <c r="FU2" s="1106"/>
      <c r="FV2" s="1106"/>
      <c r="FW2" s="1106"/>
      <c r="FX2" s="1106"/>
      <c r="FY2" s="1106"/>
      <c r="FZ2" s="1106"/>
      <c r="GA2" s="1106"/>
      <c r="GB2" s="1106"/>
      <c r="GC2" s="1106"/>
      <c r="GD2" s="1106"/>
      <c r="GE2" s="1106"/>
      <c r="GF2" s="1106"/>
      <c r="GG2" s="1106"/>
      <c r="GH2" s="1106"/>
      <c r="GI2" s="1106"/>
      <c r="GJ2" s="1106"/>
      <c r="GK2" s="1106"/>
      <c r="GL2" s="1106"/>
      <c r="GM2" s="1106"/>
      <c r="GN2" s="1106"/>
      <c r="GO2" s="1106"/>
      <c r="GP2" s="1106"/>
      <c r="GQ2" s="1106"/>
      <c r="GR2" s="1106"/>
      <c r="GS2" s="1106"/>
      <c r="GT2" s="1106"/>
      <c r="GU2" s="1106"/>
      <c r="GV2" s="1106"/>
      <c r="GW2" s="1106"/>
      <c r="GX2" s="1106"/>
      <c r="GY2" s="1106"/>
      <c r="GZ2" s="1106"/>
      <c r="HA2" s="1106"/>
      <c r="HB2" s="1106"/>
      <c r="HC2" s="1106"/>
      <c r="HD2" s="1106"/>
      <c r="HE2" s="1106"/>
      <c r="HF2" s="1106"/>
      <c r="HG2" s="1106"/>
      <c r="HH2" s="1106"/>
      <c r="HI2" s="1106"/>
      <c r="HJ2" s="1106"/>
      <c r="HK2" s="1106"/>
      <c r="HL2" s="1106"/>
      <c r="HM2" s="1106"/>
      <c r="HN2" s="1106"/>
      <c r="HO2" s="1106"/>
      <c r="HP2" s="1106"/>
      <c r="HQ2" s="1106"/>
      <c r="HR2" s="1106"/>
      <c r="HS2" s="1106"/>
      <c r="HT2" s="1106"/>
      <c r="HU2" s="1106"/>
      <c r="HV2" s="1106"/>
      <c r="HW2" s="1106"/>
      <c r="HX2" s="1106"/>
      <c r="HY2" s="1106"/>
      <c r="HZ2" s="1106"/>
      <c r="IA2" s="1106"/>
      <c r="IB2" s="1106"/>
      <c r="IC2" s="1106"/>
      <c r="ID2" s="1106"/>
      <c r="IE2" s="1106"/>
      <c r="IF2" s="1106"/>
      <c r="IG2" s="1106"/>
      <c r="IH2" s="1106"/>
      <c r="II2" s="1106"/>
      <c r="IJ2" s="1106"/>
      <c r="IK2" s="1106"/>
      <c r="IL2" s="1106"/>
      <c r="IM2" s="1106"/>
      <c r="IN2" s="1106"/>
      <c r="IO2" s="1106"/>
      <c r="IP2" s="1106"/>
      <c r="IQ2" s="1106"/>
      <c r="IR2" s="1106"/>
      <c r="IS2" s="1106"/>
      <c r="IT2" s="1106"/>
      <c r="IU2" s="1106"/>
      <c r="IV2" s="1106"/>
    </row>
    <row r="3" spans="1:256" s="227" customFormat="1" ht="16.399999999999999" customHeight="1" thickBot="1">
      <c r="A3" s="1113" t="s">
        <v>1962</v>
      </c>
      <c r="B3" s="1113"/>
      <c r="C3" s="1113"/>
      <c r="D3" s="1113"/>
      <c r="E3" s="1113"/>
      <c r="F3" s="1113"/>
      <c r="G3" s="1113"/>
      <c r="H3" s="1113"/>
      <c r="I3" s="1113"/>
      <c r="J3" s="1113"/>
      <c r="K3" s="1113"/>
      <c r="L3" s="1113"/>
      <c r="M3" s="38"/>
      <c r="N3" s="38"/>
      <c r="O3" s="38"/>
    </row>
    <row r="4" spans="1:256" s="474" customFormat="1" ht="16" customHeight="1">
      <c r="A4" s="579" t="s">
        <v>31</v>
      </c>
      <c r="B4" s="1112" t="s">
        <v>2110</v>
      </c>
      <c r="C4" s="1112"/>
      <c r="D4" s="1112"/>
      <c r="E4" s="1112"/>
      <c r="F4" s="1112"/>
      <c r="G4" s="1112"/>
      <c r="H4" s="1112"/>
      <c r="I4" s="1112"/>
      <c r="J4" s="1112"/>
      <c r="K4" s="1112"/>
      <c r="L4" s="1112"/>
      <c r="M4" s="473"/>
      <c r="N4" s="473"/>
      <c r="O4" s="473"/>
    </row>
    <row r="5" spans="1:256" s="474" customFormat="1" ht="14.5">
      <c r="A5" s="579"/>
      <c r="B5" s="580" t="s">
        <v>1963</v>
      </c>
      <c r="C5" s="568"/>
      <c r="D5" s="568"/>
      <c r="E5" s="568"/>
      <c r="F5" s="568"/>
      <c r="G5" s="568"/>
      <c r="H5" s="568"/>
      <c r="I5" s="568"/>
      <c r="J5" s="568"/>
      <c r="K5" s="568"/>
      <c r="L5" s="568"/>
      <c r="M5" s="473"/>
      <c r="N5" s="473"/>
      <c r="O5" s="473"/>
    </row>
    <row r="6" spans="1:256" s="162" customFormat="1" ht="17.149999999999999" customHeight="1">
      <c r="A6" s="579" t="s">
        <v>31</v>
      </c>
      <c r="B6" s="1112" t="s">
        <v>1964</v>
      </c>
      <c r="C6" s="1112"/>
      <c r="D6" s="1112"/>
      <c r="E6" s="1112"/>
      <c r="F6" s="1112"/>
      <c r="G6" s="1112"/>
      <c r="H6" s="1112"/>
      <c r="I6" s="1112"/>
      <c r="J6" s="1112"/>
      <c r="K6" s="1112"/>
      <c r="L6" s="1112"/>
      <c r="M6" s="473"/>
      <c r="N6" s="473"/>
      <c r="O6" s="473"/>
    </row>
    <row r="7" spans="1:256" s="710" customFormat="1" ht="19.5" customHeight="1">
      <c r="A7" s="709" t="s">
        <v>31</v>
      </c>
      <c r="B7" s="1114" t="s">
        <v>2114</v>
      </c>
      <c r="C7" s="1114"/>
      <c r="D7" s="1114"/>
      <c r="E7" s="1114"/>
      <c r="F7" s="1114"/>
      <c r="G7" s="1114"/>
      <c r="H7" s="1114"/>
      <c r="I7" s="1114"/>
      <c r="J7" s="1114"/>
      <c r="K7" s="1114"/>
      <c r="L7" s="1114"/>
      <c r="M7" s="660"/>
      <c r="N7" s="660"/>
      <c r="O7" s="660"/>
    </row>
    <row r="8" spans="1:256" s="86" customFormat="1" ht="16.5" customHeight="1">
      <c r="A8" s="581" t="s">
        <v>31</v>
      </c>
      <c r="B8" s="1111" t="s">
        <v>2117</v>
      </c>
      <c r="C8" s="1111"/>
      <c r="D8" s="1111"/>
      <c r="E8" s="1111"/>
      <c r="F8" s="1111"/>
      <c r="G8" s="1111"/>
      <c r="H8" s="1111"/>
      <c r="I8" s="1111"/>
      <c r="J8" s="1111"/>
      <c r="K8" s="1111"/>
      <c r="L8" s="1111"/>
      <c r="M8" s="38"/>
      <c r="N8" s="38"/>
      <c r="O8" s="38"/>
    </row>
    <row r="9" spans="1:256" s="86" customFormat="1" ht="16.5" customHeight="1">
      <c r="A9" s="581" t="s">
        <v>31</v>
      </c>
      <c r="B9" s="226" t="s">
        <v>2084</v>
      </c>
      <c r="C9" s="226"/>
      <c r="D9" s="226"/>
      <c r="E9" s="226"/>
      <c r="F9" s="226"/>
      <c r="G9" s="226"/>
      <c r="H9" s="226"/>
      <c r="I9" s="226"/>
      <c r="J9" s="226"/>
      <c r="K9" s="226"/>
      <c r="L9" s="226"/>
      <c r="M9" s="38"/>
      <c r="N9" s="38"/>
      <c r="O9" s="38"/>
    </row>
    <row r="10" spans="1:256" s="475" customFormat="1" ht="16.5" customHeight="1">
      <c r="A10" s="581" t="s">
        <v>31</v>
      </c>
      <c r="B10" s="226" t="s">
        <v>2098</v>
      </c>
      <c r="C10" s="226"/>
      <c r="D10" s="226"/>
      <c r="E10" s="226"/>
      <c r="F10" s="226"/>
      <c r="G10" s="226"/>
      <c r="H10" s="226"/>
      <c r="I10" s="226"/>
      <c r="J10" s="226"/>
      <c r="K10" s="226"/>
      <c r="L10" s="226"/>
      <c r="M10" s="473"/>
      <c r="N10" s="473"/>
      <c r="O10" s="473"/>
    </row>
    <row r="11" spans="1:256" ht="17.149999999999999" customHeight="1">
      <c r="A11" s="581" t="s">
        <v>31</v>
      </c>
      <c r="B11" s="1111" t="str">
        <f>"Project must be started after "&amp;Development!A4&amp;" and completed within 180 days at time of application submittal."</f>
        <v>Project must be started after 01.01.2025 and completed within 180 days at time of application submittal.</v>
      </c>
      <c r="C11" s="1111"/>
      <c r="D11" s="1111"/>
      <c r="E11" s="1111"/>
      <c r="F11" s="1111"/>
      <c r="G11" s="1111"/>
      <c r="H11" s="1111"/>
      <c r="I11" s="1111"/>
      <c r="J11" s="1111"/>
      <c r="K11" s="1111"/>
      <c r="L11" s="1111"/>
      <c r="M11" s="38"/>
      <c r="N11" s="38"/>
      <c r="O11" s="38"/>
    </row>
    <row r="12" spans="1:256" s="474" customFormat="1" ht="16.5" customHeight="1">
      <c r="A12" s="579" t="s">
        <v>31</v>
      </c>
      <c r="B12" s="1112" t="s">
        <v>1965</v>
      </c>
      <c r="C12" s="1112"/>
      <c r="D12" s="1112"/>
      <c r="E12" s="1112"/>
      <c r="F12" s="1112"/>
      <c r="G12" s="1112"/>
      <c r="H12" s="1112"/>
      <c r="I12" s="1112"/>
      <c r="J12" s="1112"/>
      <c r="K12" s="1112"/>
      <c r="L12" s="1112"/>
      <c r="M12" s="473"/>
      <c r="N12" s="473"/>
      <c r="O12" s="473"/>
    </row>
    <row r="13" spans="1:256" s="474" customFormat="1" ht="16" customHeight="1">
      <c r="A13" s="579" t="s">
        <v>31</v>
      </c>
      <c r="B13" s="1099" t="s">
        <v>1966</v>
      </c>
      <c r="C13" s="1099"/>
      <c r="D13" s="1099"/>
      <c r="E13" s="1099"/>
      <c r="F13" s="1099"/>
      <c r="G13" s="1099"/>
      <c r="H13" s="1099"/>
      <c r="I13" s="1099"/>
      <c r="J13" s="1099"/>
      <c r="K13" s="1099"/>
      <c r="L13" s="1099"/>
      <c r="M13" s="473"/>
      <c r="N13" s="473"/>
      <c r="O13" s="473"/>
    </row>
    <row r="14" spans="1:256" s="474" customFormat="1" ht="32.15" customHeight="1">
      <c r="A14" s="579" t="s">
        <v>31</v>
      </c>
      <c r="B14" s="1077" t="s">
        <v>2059</v>
      </c>
      <c r="C14" s="1077"/>
      <c r="D14" s="1077"/>
      <c r="E14" s="1077"/>
      <c r="F14" s="1077"/>
      <c r="G14" s="1077"/>
      <c r="H14" s="1077"/>
      <c r="I14" s="1077"/>
      <c r="J14" s="1077"/>
      <c r="K14" s="1077"/>
      <c r="L14" s="1077"/>
      <c r="M14" s="473"/>
      <c r="N14" s="473"/>
      <c r="O14" s="473"/>
    </row>
    <row r="15" spans="1:256" s="474" customFormat="1" ht="17.149999999999999" customHeight="1">
      <c r="A15" s="581" t="s">
        <v>31</v>
      </c>
      <c r="B15" s="1111" t="s">
        <v>1967</v>
      </c>
      <c r="C15" s="1111"/>
      <c r="D15" s="1111"/>
      <c r="E15" s="1111"/>
      <c r="F15" s="1111"/>
      <c r="G15" s="1111"/>
      <c r="H15" s="1111"/>
      <c r="I15" s="1111"/>
      <c r="J15" s="1111"/>
      <c r="K15" s="1111"/>
      <c r="L15" s="1111"/>
      <c r="M15" s="473"/>
      <c r="N15" s="473"/>
      <c r="O15" s="473"/>
    </row>
    <row r="16" spans="1:256" s="227" customFormat="1" ht="16.5" customHeight="1">
      <c r="A16" s="581"/>
      <c r="B16" s="580" t="s">
        <v>1963</v>
      </c>
      <c r="C16" s="226"/>
      <c r="D16" s="226"/>
      <c r="E16" s="226"/>
      <c r="F16" s="226"/>
      <c r="G16" s="226"/>
      <c r="H16" s="226"/>
      <c r="I16" s="226"/>
      <c r="J16" s="226"/>
      <c r="K16" s="226"/>
      <c r="L16" s="226"/>
      <c r="M16" s="38"/>
      <c r="N16" s="38"/>
      <c r="O16" s="38"/>
    </row>
    <row r="17" spans="1:15" s="227" customFormat="1" ht="18.649999999999999" customHeight="1">
      <c r="A17" s="581" t="s">
        <v>31</v>
      </c>
      <c r="B17" s="226" t="s">
        <v>1968</v>
      </c>
      <c r="C17" s="226"/>
      <c r="D17" s="226"/>
      <c r="E17" s="226"/>
      <c r="F17" s="226"/>
      <c r="G17" s="226"/>
      <c r="H17" s="226"/>
      <c r="I17" s="226"/>
      <c r="J17" s="226"/>
      <c r="K17" s="226"/>
      <c r="L17" s="226"/>
      <c r="M17" s="38"/>
      <c r="N17" s="38"/>
      <c r="O17" s="38"/>
    </row>
    <row r="18" spans="1:15" s="227" customFormat="1" ht="18.649999999999999" customHeight="1">
      <c r="A18" s="581"/>
      <c r="B18" s="580" t="s">
        <v>1963</v>
      </c>
      <c r="C18" s="226"/>
      <c r="D18" s="226"/>
      <c r="E18" s="226"/>
      <c r="F18" s="226"/>
      <c r="G18" s="226"/>
      <c r="H18" s="226"/>
      <c r="I18" s="226"/>
      <c r="J18" s="226"/>
      <c r="K18" s="226"/>
      <c r="L18" s="226"/>
      <c r="M18" s="38"/>
      <c r="N18" s="38"/>
      <c r="O18" s="38"/>
    </row>
    <row r="19" spans="1:15" s="227" customFormat="1" ht="36" customHeight="1">
      <c r="A19" s="228" t="s">
        <v>31</v>
      </c>
      <c r="B19" s="1077" t="s">
        <v>2057</v>
      </c>
      <c r="C19" s="1077"/>
      <c r="D19" s="1077"/>
      <c r="E19" s="1077"/>
      <c r="F19" s="1077"/>
      <c r="G19" s="1077"/>
      <c r="H19" s="1077"/>
      <c r="I19" s="1077"/>
      <c r="J19" s="1077"/>
      <c r="K19" s="1077"/>
      <c r="L19" s="1077"/>
      <c r="M19" s="38"/>
      <c r="N19" s="38"/>
      <c r="O19" s="38"/>
    </row>
    <row r="20" spans="1:15" s="227" customFormat="1" ht="20.149999999999999" customHeight="1">
      <c r="A20" s="228" t="s">
        <v>31</v>
      </c>
      <c r="B20" s="1077" t="s">
        <v>1969</v>
      </c>
      <c r="C20" s="1111"/>
      <c r="D20" s="1111"/>
      <c r="E20" s="1111"/>
      <c r="F20" s="1111"/>
      <c r="G20" s="1111"/>
      <c r="H20" s="1111"/>
      <c r="I20" s="1111"/>
      <c r="J20" s="1111"/>
      <c r="K20" s="1111"/>
      <c r="L20" s="1111"/>
      <c r="M20" s="38"/>
      <c r="N20" s="38"/>
      <c r="O20" s="38"/>
    </row>
    <row r="21" spans="1:15" s="269" customFormat="1" ht="18.649999999999999" customHeight="1">
      <c r="A21" s="579" t="s">
        <v>31</v>
      </c>
      <c r="B21" s="1112" t="s">
        <v>2058</v>
      </c>
      <c r="C21" s="1112"/>
      <c r="D21" s="1112"/>
      <c r="E21" s="1112"/>
      <c r="F21" s="1112"/>
      <c r="G21" s="1112"/>
      <c r="H21" s="1112"/>
      <c r="I21" s="1112"/>
      <c r="J21" s="1112"/>
      <c r="K21" s="1112"/>
      <c r="L21" s="1112"/>
      <c r="M21" s="141"/>
      <c r="N21" s="141"/>
      <c r="O21" s="141"/>
    </row>
    <row r="22" spans="1:15" s="475" customFormat="1" ht="18.649999999999999" customHeight="1">
      <c r="A22" s="579" t="s">
        <v>31</v>
      </c>
      <c r="B22" s="1112" t="s">
        <v>2345</v>
      </c>
      <c r="C22" s="1112"/>
      <c r="D22" s="1112"/>
      <c r="E22" s="1112"/>
      <c r="F22" s="1112"/>
      <c r="G22" s="1112"/>
      <c r="H22" s="1112"/>
      <c r="I22" s="1112"/>
      <c r="J22" s="1112"/>
      <c r="K22" s="1112"/>
      <c r="L22" s="568"/>
      <c r="M22" s="473"/>
      <c r="N22" s="473"/>
      <c r="O22" s="473"/>
    </row>
    <row r="23" spans="1:15" s="227" customFormat="1" ht="16.5" customHeight="1">
      <c r="A23" s="579" t="s">
        <v>31</v>
      </c>
      <c r="B23" s="568" t="s">
        <v>2638</v>
      </c>
      <c r="C23" s="568"/>
      <c r="D23" s="568"/>
      <c r="E23" s="568"/>
      <c r="F23" s="568"/>
      <c r="G23" s="568"/>
      <c r="H23" s="568"/>
      <c r="I23" s="568"/>
      <c r="J23" s="568"/>
      <c r="K23" s="568"/>
      <c r="L23" s="568"/>
    </row>
    <row r="24" spans="1:15" s="475" customFormat="1" ht="19.5" customHeight="1">
      <c r="A24" s="579" t="s">
        <v>31</v>
      </c>
      <c r="B24" s="1077" t="s">
        <v>1970</v>
      </c>
      <c r="C24" s="1077"/>
      <c r="D24" s="1077"/>
      <c r="E24" s="1077"/>
      <c r="F24" s="1077"/>
      <c r="G24" s="1077"/>
      <c r="H24" s="1077"/>
      <c r="I24" s="1077"/>
      <c r="J24" s="1077"/>
      <c r="K24" s="1077"/>
      <c r="L24" s="1077"/>
      <c r="M24" s="473"/>
      <c r="N24" s="473"/>
      <c r="O24" s="473"/>
    </row>
    <row r="25" spans="1:15" s="227" customFormat="1" ht="15.65" customHeight="1">
      <c r="B25" s="1109"/>
      <c r="C25" s="1109"/>
      <c r="D25" s="1109"/>
      <c r="E25" s="1109"/>
      <c r="F25" s="1109"/>
      <c r="G25" s="1109"/>
      <c r="H25" s="1109"/>
      <c r="I25" s="1109"/>
      <c r="J25" s="1109"/>
      <c r="K25" s="1109"/>
      <c r="L25" s="1109"/>
      <c r="M25" s="38"/>
      <c r="N25" s="38"/>
      <c r="O25" s="38"/>
    </row>
    <row r="26" spans="1:15" s="227" customFormat="1" ht="25.5" customHeight="1" thickBot="1">
      <c r="A26" s="1113" t="s">
        <v>1971</v>
      </c>
      <c r="B26" s="1113"/>
      <c r="C26" s="1113"/>
      <c r="D26" s="1113"/>
      <c r="E26" s="1113"/>
      <c r="F26" s="1113"/>
      <c r="G26" s="1113"/>
      <c r="H26" s="1113"/>
      <c r="I26" s="1113"/>
      <c r="J26" s="1113"/>
      <c r="K26" s="1113"/>
      <c r="L26" s="1113"/>
      <c r="M26" s="38"/>
      <c r="N26" s="38"/>
      <c r="O26" s="38"/>
    </row>
    <row r="27" spans="1:15" s="227" customFormat="1" ht="18.649999999999999" customHeight="1">
      <c r="A27" s="582" t="s">
        <v>31</v>
      </c>
      <c r="B27" s="474" t="s">
        <v>1972</v>
      </c>
      <c r="M27" s="38"/>
      <c r="N27" s="38"/>
      <c r="O27" s="38"/>
    </row>
    <row r="28" spans="1:15" s="477" customFormat="1" ht="14.5">
      <c r="A28" s="582" t="s">
        <v>31</v>
      </c>
      <c r="B28" s="1099" t="s">
        <v>1973</v>
      </c>
      <c r="C28" s="1099"/>
      <c r="D28" s="1099"/>
      <c r="E28" s="1099"/>
      <c r="F28" s="1099"/>
      <c r="G28" s="1099"/>
      <c r="H28" s="1099"/>
      <c r="I28" s="1099"/>
      <c r="J28" s="1099"/>
      <c r="K28" s="1099"/>
      <c r="L28" s="1099"/>
      <c r="M28" s="476"/>
      <c r="N28" s="476"/>
      <c r="O28" s="476"/>
    </row>
    <row r="29" spans="1:15" s="227" customFormat="1" ht="28" customHeight="1">
      <c r="A29" s="582" t="s">
        <v>31</v>
      </c>
      <c r="B29" s="1112" t="s">
        <v>1974</v>
      </c>
      <c r="C29" s="1112"/>
      <c r="D29" s="1112"/>
      <c r="E29" s="1112"/>
      <c r="F29" s="1112"/>
      <c r="G29" s="1112"/>
      <c r="H29" s="1112"/>
      <c r="I29" s="1112"/>
      <c r="J29" s="1112"/>
      <c r="K29" s="1112"/>
      <c r="L29" s="1112"/>
      <c r="M29" s="38"/>
      <c r="N29" s="38"/>
      <c r="O29" s="38"/>
    </row>
    <row r="30" spans="1:15" s="214" customFormat="1" ht="14.15" customHeight="1">
      <c r="A30" s="582"/>
      <c r="B30" s="568"/>
      <c r="C30" s="568" t="s">
        <v>1975</v>
      </c>
      <c r="D30" s="568"/>
      <c r="E30" s="568"/>
      <c r="F30" s="568"/>
      <c r="G30" s="568"/>
      <c r="H30" s="568"/>
      <c r="I30" s="568"/>
      <c r="J30" s="568"/>
      <c r="K30" s="568"/>
      <c r="L30" s="568"/>
    </row>
    <row r="31" spans="1:15" s="162" customFormat="1" ht="21" customHeight="1">
      <c r="A31" s="582"/>
      <c r="B31" s="582"/>
      <c r="C31" s="132"/>
      <c r="D31" s="630" t="s">
        <v>1976</v>
      </c>
      <c r="E31" s="629"/>
      <c r="F31" s="579" t="s">
        <v>1977</v>
      </c>
      <c r="G31" s="579"/>
      <c r="H31" s="579"/>
      <c r="I31" s="579"/>
      <c r="J31" s="579"/>
      <c r="K31" s="579"/>
      <c r="L31" s="579"/>
    </row>
    <row r="32" spans="1:15" s="474" customFormat="1" ht="16" customHeight="1">
      <c r="A32" s="582"/>
      <c r="B32" s="582"/>
      <c r="C32" s="583"/>
      <c r="D32" s="584" t="s">
        <v>1978</v>
      </c>
      <c r="E32" s="584"/>
      <c r="F32" s="584"/>
      <c r="G32" s="584"/>
      <c r="H32" s="584"/>
      <c r="I32" s="584"/>
      <c r="J32" s="584"/>
      <c r="K32" s="584"/>
      <c r="L32" s="584"/>
    </row>
    <row r="33" spans="1:15" ht="18" customHeight="1">
      <c r="A33" s="585"/>
      <c r="B33" s="474"/>
      <c r="C33" s="162"/>
      <c r="D33" s="586" t="s">
        <v>2631</v>
      </c>
      <c r="E33" s="587"/>
      <c r="F33" s="587"/>
      <c r="G33" s="587"/>
      <c r="H33" s="587"/>
      <c r="I33" s="588"/>
      <c r="J33" s="588"/>
      <c r="K33" s="588"/>
      <c r="L33" s="588"/>
    </row>
    <row r="34" spans="1:15" ht="15.5">
      <c r="A34" s="585"/>
      <c r="B34" s="474"/>
      <c r="C34" s="474" t="s">
        <v>2340</v>
      </c>
      <c r="D34" s="714" t="s">
        <v>2341</v>
      </c>
      <c r="E34" s="587"/>
      <c r="F34" s="587"/>
      <c r="G34" s="587"/>
      <c r="H34" s="587"/>
      <c r="I34" s="588"/>
      <c r="J34" s="588"/>
      <c r="K34" s="588"/>
      <c r="L34" s="588"/>
    </row>
    <row r="35" spans="1:15" ht="15.5">
      <c r="A35" s="585"/>
      <c r="B35" s="474"/>
      <c r="C35" s="474" t="s">
        <v>2367</v>
      </c>
      <c r="D35" s="714"/>
      <c r="E35" s="587"/>
      <c r="F35" s="587"/>
      <c r="G35" s="587"/>
      <c r="H35" s="587"/>
      <c r="I35" s="588"/>
      <c r="J35" s="588"/>
      <c r="K35" s="588"/>
      <c r="L35" s="588"/>
    </row>
    <row r="36" spans="1:15" s="303" customFormat="1" ht="19" customHeight="1" thickBot="1">
      <c r="A36" s="582"/>
      <c r="B36" s="227"/>
      <c r="C36" s="474" t="s">
        <v>1979</v>
      </c>
      <c r="D36" s="227"/>
      <c r="E36" s="227"/>
      <c r="F36" s="227"/>
      <c r="G36" s="227"/>
      <c r="H36" s="227"/>
      <c r="I36" s="227"/>
      <c r="J36" s="227"/>
      <c r="K36" s="227"/>
      <c r="L36" s="227"/>
      <c r="M36" s="302"/>
      <c r="N36" s="302"/>
      <c r="O36" s="302"/>
    </row>
    <row r="37" spans="1:15" s="469" customFormat="1" ht="18" customHeight="1">
      <c r="A37" s="582"/>
      <c r="B37" s="582"/>
      <c r="C37" s="227"/>
      <c r="D37" s="227"/>
      <c r="E37" s="227"/>
      <c r="F37" s="227"/>
      <c r="G37" s="227"/>
      <c r="H37" s="227"/>
      <c r="I37" s="227"/>
      <c r="J37" s="227"/>
      <c r="K37" s="227"/>
      <c r="L37" s="227"/>
      <c r="M37" s="468"/>
      <c r="N37" s="468"/>
      <c r="O37" s="468"/>
    </row>
    <row r="38" spans="1:15" s="474" customFormat="1" ht="16.5" customHeight="1">
      <c r="A38" s="582" t="s">
        <v>31</v>
      </c>
      <c r="B38" s="589" t="s">
        <v>1980</v>
      </c>
      <c r="C38" s="227"/>
      <c r="D38" s="227"/>
      <c r="E38" s="227"/>
      <c r="F38" s="227"/>
      <c r="G38" s="227"/>
      <c r="H38" s="227"/>
      <c r="I38" s="227"/>
      <c r="J38" s="227"/>
      <c r="K38" s="227"/>
      <c r="L38" s="227"/>
      <c r="M38" s="473"/>
      <c r="N38" s="473"/>
      <c r="O38" s="473"/>
    </row>
    <row r="39" spans="1:15" s="162" customFormat="1" ht="15" customHeight="1">
      <c r="A39" s="582" t="s">
        <v>31</v>
      </c>
      <c r="B39" s="590" t="s">
        <v>1981</v>
      </c>
      <c r="C39" s="474"/>
      <c r="D39" s="474"/>
      <c r="E39" s="474"/>
      <c r="F39" s="474"/>
      <c r="G39" s="474"/>
      <c r="H39" s="474"/>
      <c r="I39" s="474"/>
      <c r="J39" s="474"/>
      <c r="K39" s="474"/>
      <c r="L39" s="474"/>
      <c r="M39" s="473"/>
      <c r="N39" s="473"/>
      <c r="O39" s="473"/>
    </row>
    <row r="40" spans="1:15" s="162" customFormat="1" ht="15" customHeight="1">
      <c r="A40" s="591" t="s">
        <v>31</v>
      </c>
      <c r="B40" s="474" t="s">
        <v>1982</v>
      </c>
      <c r="C40" s="474"/>
      <c r="D40" s="474"/>
      <c r="E40" s="474"/>
      <c r="F40" s="474"/>
      <c r="G40" s="474"/>
      <c r="H40" s="474"/>
      <c r="I40" s="474"/>
      <c r="J40" s="474"/>
      <c r="K40" s="474"/>
      <c r="L40" s="474"/>
      <c r="M40" s="473"/>
      <c r="N40" s="473"/>
      <c r="O40" s="473"/>
    </row>
    <row r="41" spans="1:15" s="162" customFormat="1" ht="15" customHeight="1">
      <c r="A41" s="582" t="s">
        <v>31</v>
      </c>
      <c r="B41" s="474" t="s">
        <v>1983</v>
      </c>
      <c r="C41" s="474"/>
      <c r="D41" s="474"/>
      <c r="E41" s="474"/>
      <c r="F41" s="474"/>
      <c r="G41" s="474"/>
      <c r="H41" s="474"/>
      <c r="I41" s="474"/>
      <c r="J41" s="474"/>
      <c r="K41" s="474"/>
      <c r="L41" s="474"/>
      <c r="M41" s="473"/>
      <c r="N41" s="473"/>
      <c r="O41" s="473"/>
    </row>
    <row r="42" spans="1:15" s="162" customFormat="1" ht="17.5" customHeight="1">
      <c r="A42" s="582" t="s">
        <v>31</v>
      </c>
      <c r="B42" s="1077" t="s">
        <v>1984</v>
      </c>
      <c r="C42" s="1077"/>
      <c r="D42" s="1077"/>
      <c r="E42" s="1077"/>
      <c r="F42" s="1077"/>
      <c r="G42" s="1077"/>
      <c r="H42" s="1077"/>
      <c r="I42" s="1077"/>
      <c r="J42" s="1077"/>
      <c r="K42" s="1077"/>
      <c r="L42" s="1077"/>
      <c r="M42" s="473"/>
      <c r="N42" s="473"/>
      <c r="O42" s="473"/>
    </row>
    <row r="43" spans="1:15" s="162" customFormat="1" ht="17.5" customHeight="1">
      <c r="A43" s="227"/>
      <c r="B43" s="592"/>
      <c r="C43" s="132"/>
      <c r="D43" s="132"/>
      <c r="E43" s="132"/>
      <c r="F43" s="132"/>
      <c r="G43" s="132"/>
      <c r="H43" s="132"/>
      <c r="I43" s="132"/>
      <c r="J43" s="132"/>
      <c r="K43" s="132"/>
      <c r="L43" s="132"/>
      <c r="M43" s="473"/>
      <c r="N43" s="473"/>
      <c r="O43" s="473"/>
    </row>
    <row r="44" spans="1:15" s="162" customFormat="1" ht="16" customHeight="1">
      <c r="A44" s="227"/>
      <c r="B44" s="592"/>
      <c r="C44" s="132"/>
      <c r="D44" s="132"/>
      <c r="E44" s="132"/>
      <c r="F44" s="132"/>
      <c r="G44" s="132"/>
      <c r="H44" s="132"/>
      <c r="I44" s="132"/>
      <c r="J44" s="132"/>
      <c r="K44" s="132"/>
      <c r="L44" s="132"/>
      <c r="M44" s="473"/>
      <c r="N44" s="473"/>
      <c r="O44" s="473"/>
    </row>
    <row r="45" spans="1:15" s="162" customFormat="1" ht="16" customHeight="1">
      <c r="A45" s="227"/>
      <c r="B45" s="592"/>
      <c r="C45" s="132"/>
      <c r="D45" s="132"/>
      <c r="E45" s="132"/>
      <c r="F45" s="132"/>
      <c r="G45" s="132"/>
      <c r="H45" s="132"/>
      <c r="I45" s="132"/>
      <c r="J45" s="132"/>
      <c r="K45" s="132"/>
      <c r="L45" s="132"/>
      <c r="M45" s="473"/>
      <c r="N45" s="473"/>
      <c r="O45" s="473"/>
    </row>
    <row r="46" spans="1:15" s="471" customFormat="1" ht="17.149999999999999" customHeight="1">
      <c r="A46" s="227"/>
      <c r="B46" s="593"/>
      <c r="C46" s="132"/>
      <c r="D46" s="132"/>
      <c r="E46" s="132"/>
      <c r="F46" s="132"/>
      <c r="G46" s="132"/>
      <c r="H46" s="132"/>
      <c r="I46" s="132"/>
      <c r="J46" s="132"/>
      <c r="K46" s="132"/>
      <c r="L46" s="132"/>
      <c r="M46" s="470"/>
      <c r="N46" s="470"/>
      <c r="O46" s="470"/>
    </row>
    <row r="47" spans="1:15" s="214" customFormat="1" ht="17.5" customHeight="1">
      <c r="A47" s="227"/>
      <c r="B47" s="132"/>
      <c r="C47" s="132"/>
      <c r="D47" s="132"/>
      <c r="E47" s="132"/>
      <c r="F47" s="132"/>
      <c r="G47" s="132"/>
      <c r="H47" s="132"/>
      <c r="I47" s="132"/>
      <c r="J47" s="132"/>
      <c r="K47" s="132"/>
      <c r="L47" s="132"/>
      <c r="M47" s="141"/>
      <c r="N47" s="141"/>
      <c r="O47" s="141"/>
    </row>
    <row r="48" spans="1:15" ht="34" customHeight="1">
      <c r="A48" s="594"/>
      <c r="B48" s="38"/>
      <c r="C48" s="38"/>
      <c r="D48" s="38"/>
      <c r="E48" s="38"/>
      <c r="F48" s="38"/>
      <c r="G48" s="38"/>
      <c r="H48" s="38"/>
      <c r="I48" s="38"/>
      <c r="J48" s="38"/>
      <c r="K48" s="38"/>
      <c r="L48" s="38"/>
      <c r="M48" s="38"/>
      <c r="N48" s="38"/>
      <c r="O48" s="38"/>
    </row>
    <row r="49" spans="1:15" ht="17.5" customHeight="1">
      <c r="A49" s="594"/>
      <c r="B49" s="132" t="s">
        <v>1985</v>
      </c>
      <c r="C49" s="38"/>
      <c r="D49" s="38"/>
      <c r="E49" s="38"/>
      <c r="F49" s="578"/>
      <c r="G49" s="164" t="s">
        <v>1946</v>
      </c>
      <c r="H49" s="38"/>
      <c r="I49" s="38"/>
      <c r="J49" s="38"/>
      <c r="K49" s="38"/>
      <c r="L49" s="38"/>
      <c r="M49" s="38"/>
      <c r="N49" s="38"/>
      <c r="O49" s="38"/>
    </row>
    <row r="50" spans="1:15" ht="16.5" customHeight="1">
      <c r="D50" s="230"/>
    </row>
    <row r="51" spans="1:15" ht="16.5" customHeight="1">
      <c r="A51" s="74" t="s">
        <v>165</v>
      </c>
      <c r="B51" s="77"/>
      <c r="C51" s="466" t="str">
        <f>Development!$A$2</f>
        <v>1.0</v>
      </c>
      <c r="D51" s="1041"/>
      <c r="E51" s="1041"/>
      <c r="F51" s="1041"/>
      <c r="G51" s="1042"/>
      <c r="H51" s="1042"/>
      <c r="I51" s="1042"/>
      <c r="J51" s="77"/>
      <c r="K51" s="78" t="s">
        <v>167</v>
      </c>
      <c r="L51" s="79" t="str">
        <f>Development!$A$4</f>
        <v>01.01.2025</v>
      </c>
    </row>
    <row r="52" spans="1:15" ht="16.5" hidden="1" customHeight="1"/>
    <row r="53" spans="1:15" ht="16.5" hidden="1" customHeight="1"/>
  </sheetData>
  <sheetProtection algorithmName="SHA-512" hashValue="A0jftG/9DM0kt8gQbaM/AlrxaLqbJA2U7CduYuwEFc4CV5IcbLEkH0V7jyTwnvDA9NFKvd7ttnjQNDt3Dz7//Q==" saltValue="qqQBrLLHerf/7gWzebxD4g==" spinCount="100000" sheet="1" objects="1" scenarios="1"/>
  <mergeCells count="72">
    <mergeCell ref="B24:L24"/>
    <mergeCell ref="A26:L26"/>
    <mergeCell ref="AP1:AY1"/>
    <mergeCell ref="AZ1:BI1"/>
    <mergeCell ref="B19:L19"/>
    <mergeCell ref="B14:L14"/>
    <mergeCell ref="B15:L15"/>
    <mergeCell ref="B7:L7"/>
    <mergeCell ref="BJ2:BS2"/>
    <mergeCell ref="BJ1:BS1"/>
    <mergeCell ref="B13:L13"/>
    <mergeCell ref="AZ2:BI2"/>
    <mergeCell ref="AP2:AY2"/>
    <mergeCell ref="B11:L11"/>
    <mergeCell ref="A3:L3"/>
    <mergeCell ref="B4:L4"/>
    <mergeCell ref="B6:L6"/>
    <mergeCell ref="B12:L12"/>
    <mergeCell ref="EB1:EK1"/>
    <mergeCell ref="DR1:EA1"/>
    <mergeCell ref="EB2:EK2"/>
    <mergeCell ref="DR2:EA2"/>
    <mergeCell ref="BT2:CC2"/>
    <mergeCell ref="CX1:DG1"/>
    <mergeCell ref="CN1:CW1"/>
    <mergeCell ref="BT1:CC1"/>
    <mergeCell ref="CD1:CM1"/>
    <mergeCell ref="DH2:DQ2"/>
    <mergeCell ref="D51:F51"/>
    <mergeCell ref="G51:I51"/>
    <mergeCell ref="A1:G1"/>
    <mergeCell ref="V1:AE1"/>
    <mergeCell ref="AF1:AO1"/>
    <mergeCell ref="AF2:AO2"/>
    <mergeCell ref="B25:L25"/>
    <mergeCell ref="A2:G2"/>
    <mergeCell ref="V2:AE2"/>
    <mergeCell ref="B8:L8"/>
    <mergeCell ref="B28:L28"/>
    <mergeCell ref="B29:L29"/>
    <mergeCell ref="B42:L42"/>
    <mergeCell ref="B20:L20"/>
    <mergeCell ref="B21:L21"/>
    <mergeCell ref="B22:K22"/>
    <mergeCell ref="IR1:IV1"/>
    <mergeCell ref="EV1:FE1"/>
    <mergeCell ref="CD2:CM2"/>
    <mergeCell ref="CN2:CW2"/>
    <mergeCell ref="CX2:DG2"/>
    <mergeCell ref="HX2:IG2"/>
    <mergeCell ref="FZ2:GI2"/>
    <mergeCell ref="GJ2:GS2"/>
    <mergeCell ref="HN1:HW1"/>
    <mergeCell ref="DH1:DQ1"/>
    <mergeCell ref="FF1:FO1"/>
    <mergeCell ref="EL1:EU1"/>
    <mergeCell ref="EL2:EU2"/>
    <mergeCell ref="EV2:FE2"/>
    <mergeCell ref="HX1:IG1"/>
    <mergeCell ref="IH1:IQ1"/>
    <mergeCell ref="FP1:FY1"/>
    <mergeCell ref="FZ1:GI1"/>
    <mergeCell ref="GJ1:GS1"/>
    <mergeCell ref="GT1:HC1"/>
    <mergeCell ref="HD1:HM1"/>
    <mergeCell ref="IR2:IV2"/>
    <mergeCell ref="FF2:FO2"/>
    <mergeCell ref="FP2:FY2"/>
    <mergeCell ref="GT2:HC2"/>
    <mergeCell ref="HD2:HM2"/>
    <mergeCell ref="HN2:HW2"/>
    <mergeCell ref="IH2:IQ2"/>
  </mergeCells>
  <hyperlinks>
    <hyperlink ref="D31" r:id="rId1" xr:uid="{E6673FEF-A45E-4A35-B163-C3CDD5C83E50}"/>
    <hyperlink ref="B5" r:id="rId2" xr:uid="{F5F22CCE-2B52-47A7-955E-B7BFB8865149}"/>
    <hyperlink ref="B18" r:id="rId3" xr:uid="{E9A1FCBE-1698-424F-BDE7-2B848E4207F8}"/>
    <hyperlink ref="B16" r:id="rId4" xr:uid="{2872C54C-37B5-4155-92F9-989393DF7846}"/>
    <hyperlink ref="D34" r:id="rId5" xr:uid="{3CD62428-49AE-4ACA-83EB-44CFC0000F49}"/>
  </hyperlinks>
  <pageMargins left="0" right="0" top="0.25" bottom="0.25" header="0.3" footer="0.3"/>
  <pageSetup scale="50" fitToHeight="4" orientation="portrait" r:id="rId6"/>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drawing r:id="rId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5">
    <tabColor rgb="FF92D050"/>
    <pageSetUpPr fitToPage="1"/>
  </sheetPr>
  <dimension ref="A2:U43"/>
  <sheetViews>
    <sheetView showGridLines="0" zoomScaleNormal="100" workbookViewId="0"/>
  </sheetViews>
  <sheetFormatPr defaultColWidth="0" defaultRowHeight="14.5"/>
  <cols>
    <col min="1" max="1" width="4" style="38" customWidth="1"/>
    <col min="2" max="2" width="4.453125" style="38" customWidth="1"/>
    <col min="3" max="3" width="24.54296875" style="38" customWidth="1"/>
    <col min="4" max="4" width="37.453125" style="38" customWidth="1"/>
    <col min="5" max="5" width="35" style="38" bestFit="1" customWidth="1"/>
    <col min="6" max="6" width="23.1796875" style="38" customWidth="1"/>
    <col min="7" max="7" width="17.81640625" style="38" customWidth="1"/>
    <col min="8" max="8" width="29.81640625" style="38" bestFit="1" customWidth="1"/>
    <col min="9" max="9" width="15.54296875" style="38" customWidth="1"/>
    <col min="10" max="10" width="32.1796875" style="38" hidden="1" customWidth="1"/>
    <col min="11" max="11" width="11.54296875" style="38" customWidth="1"/>
    <col min="12" max="12" width="5.54296875" style="38" customWidth="1"/>
    <col min="13" max="16384" width="0" style="38" hidden="1"/>
  </cols>
  <sheetData>
    <row r="2" spans="2:21" ht="60" customHeight="1">
      <c r="B2" s="286" t="str">
        <f>Development!$A$3&amp;" Residential Efficiency Program"</f>
        <v>2025 Residential Efficiency Program</v>
      </c>
      <c r="C2" s="286"/>
      <c r="D2" s="286"/>
      <c r="E2" s="286"/>
      <c r="F2" s="286"/>
      <c r="G2" s="286"/>
      <c r="H2" s="286"/>
      <c r="I2" s="286"/>
      <c r="J2" s="286"/>
      <c r="K2" s="286"/>
      <c r="L2" s="286"/>
      <c r="M2" s="286"/>
      <c r="N2" s="286"/>
      <c r="O2" s="286"/>
      <c r="P2" s="286"/>
      <c r="Q2" s="286"/>
      <c r="R2" s="286"/>
      <c r="S2" s="286"/>
      <c r="T2" s="286"/>
      <c r="U2" s="286"/>
    </row>
    <row r="3" spans="2:21" ht="60" customHeight="1">
      <c r="B3" s="288" t="str">
        <f>"Smart Thermostat Eligibility Table &amp; Worksheet, Version "&amp;Development!A2</f>
        <v>Smart Thermostat Eligibility Table &amp; Worksheet, Version 1.0</v>
      </c>
      <c r="C3" s="288"/>
      <c r="D3" s="288"/>
      <c r="E3" s="288"/>
      <c r="F3" s="288"/>
      <c r="G3" s="288"/>
      <c r="H3" s="288"/>
      <c r="I3" s="288"/>
      <c r="J3" s="288"/>
      <c r="K3" s="288"/>
      <c r="L3" s="13"/>
      <c r="M3" s="13"/>
      <c r="N3" s="13"/>
      <c r="O3" s="13"/>
      <c r="P3" s="13"/>
      <c r="Q3" s="13"/>
      <c r="R3" s="13"/>
      <c r="S3" s="13"/>
      <c r="T3" s="13"/>
      <c r="U3" s="13"/>
    </row>
    <row r="4" spans="2:21" ht="49.4" customHeight="1">
      <c r="B4" s="1117" t="s">
        <v>373</v>
      </c>
      <c r="C4" s="1117"/>
      <c r="D4" s="1117"/>
      <c r="E4" s="1117"/>
      <c r="F4" s="1117"/>
      <c r="G4" s="1117"/>
      <c r="H4" s="1117"/>
      <c r="I4" s="1117"/>
      <c r="J4" s="1117"/>
      <c r="K4" s="1117"/>
    </row>
    <row r="5" spans="2:21" ht="5.15" customHeight="1">
      <c r="B5" s="168"/>
      <c r="C5" s="53"/>
      <c r="D5" s="53"/>
      <c r="E5" s="53"/>
      <c r="F5" s="53"/>
      <c r="G5" s="53"/>
      <c r="H5" s="53"/>
      <c r="I5" s="53"/>
      <c r="J5" s="53"/>
      <c r="K5" s="53"/>
    </row>
    <row r="6" spans="2:21" ht="20">
      <c r="B6" s="169" t="s">
        <v>25</v>
      </c>
    </row>
    <row r="7" spans="2:21" ht="10.4" customHeight="1">
      <c r="B7" s="169"/>
    </row>
    <row r="8" spans="2:21">
      <c r="B8" s="170" t="s">
        <v>19</v>
      </c>
      <c r="C8" s="38" t="s">
        <v>284</v>
      </c>
    </row>
    <row r="9" spans="2:21" ht="15" customHeight="1">
      <c r="B9" s="170" t="s">
        <v>20</v>
      </c>
      <c r="C9" s="1124" t="s">
        <v>617</v>
      </c>
      <c r="D9" s="1124"/>
      <c r="E9" s="1124"/>
      <c r="F9" s="1124"/>
      <c r="G9" s="1124"/>
      <c r="H9" s="1124"/>
      <c r="I9" s="1124"/>
    </row>
    <row r="10" spans="2:21">
      <c r="B10" s="170" t="s">
        <v>21</v>
      </c>
      <c r="C10" s="38" t="s">
        <v>280</v>
      </c>
    </row>
    <row r="11" spans="2:21">
      <c r="B11" s="171"/>
    </row>
    <row r="12" spans="2:21" ht="18.5">
      <c r="B12" s="171"/>
      <c r="C12" s="1122" t="s">
        <v>18</v>
      </c>
      <c r="D12" s="1123"/>
      <c r="E12" s="1122" t="s">
        <v>175</v>
      </c>
      <c r="F12" s="1123"/>
    </row>
    <row r="13" spans="2:21">
      <c r="C13" s="1125" t="s">
        <v>671</v>
      </c>
      <c r="D13" s="1126"/>
      <c r="E13" s="1127">
        <v>35</v>
      </c>
      <c r="F13" s="1128"/>
    </row>
    <row r="14" spans="2:21">
      <c r="C14" s="1125" t="s">
        <v>1381</v>
      </c>
      <c r="D14" s="1126"/>
      <c r="E14" s="1127">
        <v>50</v>
      </c>
      <c r="F14" s="1128"/>
    </row>
    <row r="18" spans="1:11" ht="26.5" customHeight="1">
      <c r="B18" s="172" t="s">
        <v>300</v>
      </c>
      <c r="E18" s="173" t="s">
        <v>282</v>
      </c>
    </row>
    <row r="19" spans="1:11" ht="14.5" customHeight="1">
      <c r="B19" s="172"/>
      <c r="E19" s="173"/>
    </row>
    <row r="20" spans="1:11" ht="28.4" customHeight="1">
      <c r="B20" s="1118" t="s">
        <v>57</v>
      </c>
      <c r="C20" s="1119"/>
      <c r="D20" s="292" t="s">
        <v>283</v>
      </c>
      <c r="E20" s="292" t="s">
        <v>55</v>
      </c>
      <c r="F20" s="292" t="s">
        <v>56</v>
      </c>
      <c r="G20" s="292" t="s">
        <v>213</v>
      </c>
      <c r="H20" s="292" t="s">
        <v>214</v>
      </c>
      <c r="I20" s="292" t="s">
        <v>215</v>
      </c>
      <c r="J20" s="174"/>
      <c r="K20" s="174" t="s">
        <v>217</v>
      </c>
    </row>
    <row r="21" spans="1:11" ht="30" customHeight="1">
      <c r="A21" s="38">
        <v>1</v>
      </c>
      <c r="B21" s="1120"/>
      <c r="C21" s="1121"/>
      <c r="D21" s="221"/>
      <c r="E21" s="221"/>
      <c r="F21" s="221"/>
      <c r="G21" s="222"/>
      <c r="H21" s="300"/>
      <c r="I21" s="221"/>
      <c r="J21" s="175" t="str">
        <f>IF(H21="","",IF(References!#REF!=TRUE,"HP Thermostat",IF(OR(RIGHT(H21,2)="HP",I21="Electric Heat"),"CH Thermostat Heating Cooling","CH Thermostat Cooling")))</f>
        <v/>
      </c>
      <c r="K21" s="104" t="str">
        <f>IF(OR(B21="",D21="",F21="",,H21="",I21=""),"",Qualifying_Index!Y42)</f>
        <v/>
      </c>
    </row>
    <row r="22" spans="1:11" ht="30" customHeight="1">
      <c r="A22" s="38">
        <v>2</v>
      </c>
      <c r="B22" s="1115"/>
      <c r="C22" s="1116"/>
      <c r="D22" s="221"/>
      <c r="E22" s="221"/>
      <c r="F22" s="221"/>
      <c r="G22" s="222"/>
      <c r="H22" s="300"/>
      <c r="I22" s="221"/>
      <c r="J22" s="175" t="str">
        <f>IF(H22="","",IF(References!#REF!=TRUE,"HP Thermostat",IF(OR(RIGHT(H22,2)="HP",I22="Electric Heat"),"CH Thermostat Heating Cooling","CH Thermostat Cooling")))</f>
        <v/>
      </c>
      <c r="K22" s="104" t="str">
        <f>IF(OR(B22="",D22="",F22="",,H22="",I22=""),"",Qualifying_Index!Y43)</f>
        <v/>
      </c>
    </row>
    <row r="23" spans="1:11" ht="30" customHeight="1">
      <c r="A23" s="38">
        <v>3</v>
      </c>
      <c r="B23" s="1115"/>
      <c r="C23" s="1116"/>
      <c r="D23" s="221"/>
      <c r="E23" s="221"/>
      <c r="F23" s="221"/>
      <c r="G23" s="222"/>
      <c r="H23" s="300"/>
      <c r="I23" s="221"/>
      <c r="J23" s="175" t="str">
        <f>IF(H23="","",IF(References!#REF!=TRUE,"HP Thermostat",IF(OR(RIGHT(H23,2)="HP",I23="Electric Heat"),"CH Thermostat Heating Cooling","CH Thermostat Cooling")))</f>
        <v/>
      </c>
      <c r="K23" s="104" t="str">
        <f>IF(OR(B23="",D23="",F23="",,H23="",I23=""),"",Qualifying_Index!Y44)</f>
        <v/>
      </c>
    </row>
    <row r="24" spans="1:11" ht="30" customHeight="1">
      <c r="A24" s="38">
        <v>4</v>
      </c>
      <c r="B24" s="1115"/>
      <c r="C24" s="1116"/>
      <c r="D24" s="221"/>
      <c r="E24" s="221"/>
      <c r="F24" s="221"/>
      <c r="G24" s="222"/>
      <c r="H24" s="300"/>
      <c r="I24" s="221"/>
      <c r="J24" s="175" t="str">
        <f>IF(H24="","",IF(References!#REF!=TRUE,"HP Thermostat",IF(OR(RIGHT(H24,2)="HP",I24="Electric Heat"),"CH Thermostat Heating Cooling","CH Thermostat Cooling")))</f>
        <v/>
      </c>
      <c r="K24" s="104" t="str">
        <f>IF(OR(B24="",D24="",F24="",,H24="",I24=""),"",Qualifying_Index!Y45)</f>
        <v/>
      </c>
    </row>
    <row r="25" spans="1:11" ht="30" customHeight="1">
      <c r="A25" s="38">
        <v>5</v>
      </c>
      <c r="B25" s="1115"/>
      <c r="C25" s="1116"/>
      <c r="D25" s="221"/>
      <c r="E25" s="221"/>
      <c r="F25" s="221"/>
      <c r="G25" s="222"/>
      <c r="H25" s="300"/>
      <c r="I25" s="221"/>
      <c r="J25" s="175" t="str">
        <f>IF(H25="","",IF(References!#REF!=TRUE,"HP Thermostat",IF(OR(RIGHT(H25,2)="HP",I25="Electric Heat"),"CH Thermostat Heating Cooling","CH Thermostat Cooling")))</f>
        <v/>
      </c>
      <c r="K25" s="104" t="str">
        <f>IF(OR(B25="",D25="",F25="",,H25="",I25=""),"",Qualifying_Index!Y46)</f>
        <v/>
      </c>
    </row>
    <row r="26" spans="1:11" ht="30" customHeight="1">
      <c r="A26" s="38">
        <v>6</v>
      </c>
      <c r="B26" s="1115"/>
      <c r="C26" s="1116"/>
      <c r="D26" s="221"/>
      <c r="E26" s="221"/>
      <c r="F26" s="221"/>
      <c r="G26" s="222"/>
      <c r="H26" s="300"/>
      <c r="I26" s="221"/>
      <c r="J26" s="175" t="str">
        <f>IF(H26="","",IF(References!#REF!=TRUE,"HP Thermostat",IF(OR(RIGHT(H26,2)="HP",I26="Electric Heat"),"CH Thermostat Heating Cooling","CH Thermostat Cooling")))</f>
        <v/>
      </c>
      <c r="K26" s="104" t="str">
        <f>IF(OR(B26="",D26="",F26="",,H26="",I26=""),"",Qualifying_Index!Y47)</f>
        <v/>
      </c>
    </row>
    <row r="27" spans="1:11" ht="30" customHeight="1">
      <c r="A27" s="38">
        <v>7</v>
      </c>
      <c r="B27" s="1115"/>
      <c r="C27" s="1116"/>
      <c r="D27" s="221"/>
      <c r="E27" s="221"/>
      <c r="F27" s="221"/>
      <c r="G27" s="222"/>
      <c r="H27" s="300"/>
      <c r="I27" s="221"/>
      <c r="J27" s="175" t="str">
        <f>IF(H27="","",IF(References!#REF!=TRUE,"HP Thermostat",IF(OR(RIGHT(H27,2)="HP",I27="Electric Heat"),"CH Thermostat Heating Cooling","CH Thermostat Cooling")))</f>
        <v/>
      </c>
      <c r="K27" s="104" t="str">
        <f>IF(OR(B27="",D27="",F27="",,H27="",I27=""),"",Qualifying_Index!Y48)</f>
        <v/>
      </c>
    </row>
    <row r="28" spans="1:11" ht="30" customHeight="1">
      <c r="A28" s="38">
        <v>8</v>
      </c>
      <c r="B28" s="1115"/>
      <c r="C28" s="1116"/>
      <c r="D28" s="221"/>
      <c r="E28" s="221"/>
      <c r="F28" s="221"/>
      <c r="G28" s="222"/>
      <c r="H28" s="300"/>
      <c r="I28" s="221"/>
      <c r="J28" s="175" t="str">
        <f>IF(H28="","",IF(References!#REF!=TRUE,"HP Thermostat",IF(OR(RIGHT(H28,2)="HP",I28="Electric Heat"),"CH Thermostat Heating Cooling","CH Thermostat Cooling")))</f>
        <v/>
      </c>
      <c r="K28" s="104" t="str">
        <f>IF(OR(B28="",D28="",F28="",,H28="",I28=""),"",Qualifying_Index!Y49)</f>
        <v/>
      </c>
    </row>
    <row r="29" spans="1:11" ht="30" customHeight="1">
      <c r="A29" s="38">
        <v>9</v>
      </c>
      <c r="B29" s="1115"/>
      <c r="C29" s="1116"/>
      <c r="D29" s="221"/>
      <c r="E29" s="221"/>
      <c r="F29" s="221"/>
      <c r="G29" s="222"/>
      <c r="H29" s="300"/>
      <c r="I29" s="221"/>
      <c r="J29" s="175" t="str">
        <f>IF(H29="","",IF(References!#REF!=TRUE,"HP Thermostat",IF(OR(RIGHT(H29,2)="HP",I29="Electric Heat"),"CH Thermostat Heating Cooling","CH Thermostat Cooling")))</f>
        <v/>
      </c>
      <c r="K29" s="104" t="str">
        <f>IF(OR(B29="",D29="",F29="",,H29="",I29=""),"",Qualifying_Index!Y50)</f>
        <v/>
      </c>
    </row>
    <row r="30" spans="1:11" ht="30" customHeight="1">
      <c r="A30" s="38">
        <v>10</v>
      </c>
      <c r="B30" s="1115"/>
      <c r="C30" s="1116"/>
      <c r="D30" s="221"/>
      <c r="E30" s="221"/>
      <c r="F30" s="221"/>
      <c r="G30" s="222"/>
      <c r="H30" s="300"/>
      <c r="I30" s="221"/>
      <c r="J30" s="175" t="str">
        <f>IF(H30="","",IF(References!#REF!=TRUE,"HP Thermostat",IF(OR(RIGHT(H30,2)="HP",I30="Electric Heat"),"CH Thermostat Heating Cooling","CH Thermostat Cooling")))</f>
        <v/>
      </c>
      <c r="K30" s="104" t="str">
        <f>IF(OR(B30="",D30="",F30="",,H30="",I30=""),"",Qualifying_Index!Y51)</f>
        <v/>
      </c>
    </row>
    <row r="31" spans="1:11" ht="30" hidden="1" customHeight="1">
      <c r="B31" s="1115"/>
      <c r="C31" s="1116"/>
      <c r="D31" s="221"/>
      <c r="E31" s="221"/>
      <c r="F31" s="221"/>
      <c r="G31" s="222"/>
      <c r="H31" s="300"/>
      <c r="I31" s="221"/>
      <c r="J31" s="175" t="str">
        <f>IF(H31="","",IF(References!#REF!=TRUE,"HP Thermostat",IF(OR(RIGHT(H31,2)="HP",I31="Electric Heat"),"CH Thermostat Heating Cooling","CH Thermostat Cooling")))</f>
        <v/>
      </c>
      <c r="K31" s="104" t="str">
        <f>IF(OR(B31="",D31="",F31="",,H31="",I31=""),"",Qualifying_Index!Y52)</f>
        <v/>
      </c>
    </row>
    <row r="33" spans="2:11">
      <c r="H33" s="39" t="s">
        <v>202</v>
      </c>
      <c r="J33" s="122"/>
      <c r="K33" s="105">
        <f>SUM(K21:K31)</f>
        <v>0</v>
      </c>
    </row>
    <row r="42" spans="2:11">
      <c r="B42" s="53"/>
      <c r="C42" s="53"/>
      <c r="D42" s="53"/>
      <c r="E42" s="53"/>
      <c r="F42" s="53"/>
      <c r="G42" s="53"/>
      <c r="H42" s="53"/>
      <c r="I42" s="53"/>
      <c r="J42" s="53"/>
      <c r="K42" s="53"/>
    </row>
    <row r="43" spans="2:11">
      <c r="B43" s="165" t="s">
        <v>165</v>
      </c>
      <c r="D43" s="478" t="str">
        <f>Development!$A$2</f>
        <v>1.0</v>
      </c>
      <c r="H43" s="176" t="s">
        <v>167</v>
      </c>
      <c r="J43" s="177"/>
      <c r="K43" s="177" t="str">
        <f>Development!$A$4</f>
        <v>01.01.2025</v>
      </c>
    </row>
  </sheetData>
  <sheetProtection algorithmName="SHA-512" hashValue="gcN7EdE+vfMZkpq+C4BaXdWXfEOVcYLfX3LH1AmI/xPc82HRruWbYO0IeGjZl9EpnljSo8vTa3Cg3JZoFUqBFw==" saltValue="eI21WAkDLFKbDVbuQSycXA==" spinCount="100000" sheet="1" objects="1" scenarios="1"/>
  <dataConsolidate/>
  <mergeCells count="20">
    <mergeCell ref="B4:K4"/>
    <mergeCell ref="B20:C20"/>
    <mergeCell ref="B21:C21"/>
    <mergeCell ref="B22:C22"/>
    <mergeCell ref="C12:D12"/>
    <mergeCell ref="E12:F12"/>
    <mergeCell ref="C9:I9"/>
    <mergeCell ref="C13:D13"/>
    <mergeCell ref="C14:D14"/>
    <mergeCell ref="E13:F13"/>
    <mergeCell ref="E14:F14"/>
    <mergeCell ref="B28:C28"/>
    <mergeCell ref="B29:C29"/>
    <mergeCell ref="B30:C30"/>
    <mergeCell ref="B31:C31"/>
    <mergeCell ref="B23:C23"/>
    <mergeCell ref="B24:C24"/>
    <mergeCell ref="B25:C25"/>
    <mergeCell ref="B26:C26"/>
    <mergeCell ref="B27:C27"/>
  </mergeCells>
  <dataValidations count="6">
    <dataValidation type="list" allowBlank="1" showInputMessage="1" showErrorMessage="1" sqref="G21:G31" xr:uid="{00000000-0002-0000-0500-000000000000}">
      <formula1>Unit_Number</formula1>
    </dataValidation>
    <dataValidation type="list" allowBlank="1" showInputMessage="1" showErrorMessage="1" sqref="H21:H31" xr:uid="{00000000-0002-0000-0500-000001000000}">
      <formula1>TStat_Equipment_Type</formula1>
    </dataValidation>
    <dataValidation type="list" allowBlank="1" showInputMessage="1" showErrorMessage="1" sqref="I21:I31" xr:uid="{00000000-0002-0000-0500-000002000000}">
      <formula1>Heating_Type</formula1>
    </dataValidation>
    <dataValidation type="list" allowBlank="1" showInputMessage="1" showErrorMessage="1" sqref="B21 B22:C31" xr:uid="{00000000-0002-0000-0500-000003000000}">
      <formula1>Tstat_Manufacturers</formula1>
    </dataValidation>
    <dataValidation type="list" allowBlank="1" showInputMessage="1" showErrorMessage="1" sqref="D21:D31" xr:uid="{00000000-0002-0000-0500-000004000000}">
      <formula1>OFFSET(Start_ApprovedStats,0,MATCH(B21,Manufacturers,0)-1,8)</formula1>
    </dataValidation>
    <dataValidation type="list" allowBlank="1" showInputMessage="1" showErrorMessage="1" sqref="E21:E31" xr:uid="{00000000-0002-0000-0500-000005000000}">
      <formula1>OFFSET(Start_Models,0,MATCH(B21,Manufacturers2,0)-1,13)</formula1>
    </dataValidation>
  </dataValidations>
  <hyperlinks>
    <hyperlink ref="E18" r:id="rId1" xr:uid="{00000000-0004-0000-0500-000000000000}"/>
  </hyperlinks>
  <pageMargins left="0.7" right="0.7" top="0.75" bottom="0.75" header="0.3" footer="0.3"/>
  <pageSetup scale="39" fitToHeight="3" orientation="portrait" r:id="rId2"/>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drawing r:id="rId3"/>
  <legacyDrawing r:id="rId4"/>
  <controls>
    <mc:AlternateContent xmlns:mc="http://schemas.openxmlformats.org/markup-compatibility/2006">
      <mc:Choice Requires="x14">
        <control shapeId="80912" r:id="rId5" name="CommandButton1">
          <controlPr defaultSize="0" autoLine="0" r:id="rId6">
            <anchor moveWithCells="1">
              <from>
                <xdr:col>8</xdr:col>
                <xdr:colOff>0</xdr:colOff>
                <xdr:row>14</xdr:row>
                <xdr:rowOff>95250</xdr:rowOff>
              </from>
              <to>
                <xdr:col>10</xdr:col>
                <xdr:colOff>469900</xdr:colOff>
                <xdr:row>17</xdr:row>
                <xdr:rowOff>184150</xdr:rowOff>
              </to>
            </anchor>
          </controlPr>
        </control>
      </mc:Choice>
      <mc:Fallback>
        <control shapeId="80912" r:id="rId5" name="CommandButton1"/>
      </mc:Fallback>
    </mc:AlternateContent>
    <mc:AlternateContent xmlns:mc="http://schemas.openxmlformats.org/markup-compatibility/2006">
      <mc:Choice Requires="x14">
        <control shapeId="80900" r:id="rId7" name="CheckBox1">
          <controlPr defaultSize="0" autoLine="0" autoPict="0" linkedCell="References!#REF!" r:id="rId8">
            <anchor>
              <from>
                <xdr:col>1</xdr:col>
                <xdr:colOff>38100</xdr:colOff>
                <xdr:row>14</xdr:row>
                <xdr:rowOff>165100</xdr:rowOff>
              </from>
              <to>
                <xdr:col>5</xdr:col>
                <xdr:colOff>0</xdr:colOff>
                <xdr:row>17</xdr:row>
                <xdr:rowOff>31750</xdr:rowOff>
              </to>
            </anchor>
          </controlPr>
        </control>
      </mc:Choice>
      <mc:Fallback>
        <control shapeId="80900" r:id="rId7" name="CheckBox1"/>
      </mc:Fallback>
    </mc:AlternateContent>
  </control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F0CAD-2D14-43EA-8B1E-BB12D0EDE2B7}">
  <sheetPr codeName="Sheet34">
    <tabColor theme="8"/>
  </sheetPr>
  <dimension ref="A1:IV108"/>
  <sheetViews>
    <sheetView showGridLines="0" zoomScaleNormal="100" workbookViewId="0">
      <selection sqref="A1:G1"/>
    </sheetView>
  </sheetViews>
  <sheetFormatPr defaultColWidth="0" defaultRowHeight="0" customHeight="1" zeroHeight="1"/>
  <cols>
    <col min="1" max="1" width="4.54296875" style="225" customWidth="1"/>
    <col min="2" max="3" width="11.453125" style="132" customWidth="1"/>
    <col min="4" max="4" width="18.81640625" style="132" customWidth="1"/>
    <col min="5" max="5" width="15.26953125" style="132" customWidth="1"/>
    <col min="6" max="7" width="13.81640625" style="132" customWidth="1"/>
    <col min="8" max="11" width="11.453125" style="132" customWidth="1"/>
    <col min="12" max="12" width="17.1796875" style="132" customWidth="1"/>
    <col min="13" max="16384" width="0" style="132" hidden="1"/>
  </cols>
  <sheetData>
    <row r="1" spans="1:256" s="598" customFormat="1" ht="60" customHeight="1">
      <c r="A1" s="1108" t="str">
        <f>'Customer Information'!A1</f>
        <v>2025 Commercial Efficiency Program</v>
      </c>
      <c r="B1" s="1108"/>
      <c r="C1" s="1108"/>
      <c r="D1" s="1108"/>
      <c r="E1" s="1108"/>
      <c r="F1" s="1108"/>
      <c r="G1" s="1108"/>
      <c r="H1" s="715"/>
      <c r="I1" s="12"/>
      <c r="J1" s="12"/>
      <c r="K1" s="12"/>
      <c r="L1" s="12"/>
      <c r="M1" s="596"/>
      <c r="N1" s="596"/>
      <c r="O1" s="596"/>
      <c r="P1" s="596"/>
      <c r="Q1" s="596"/>
      <c r="R1" s="596"/>
      <c r="S1" s="596"/>
      <c r="V1" s="1139"/>
      <c r="W1" s="1139"/>
      <c r="X1" s="1139"/>
      <c r="Y1" s="1139"/>
      <c r="Z1" s="1139"/>
      <c r="AA1" s="1139"/>
      <c r="AB1" s="1139"/>
      <c r="AC1" s="1139"/>
      <c r="AD1" s="1139"/>
      <c r="AE1" s="1139"/>
      <c r="AF1" s="1139"/>
      <c r="AG1" s="1139"/>
      <c r="AH1" s="1139"/>
      <c r="AI1" s="1139"/>
      <c r="AJ1" s="1139"/>
      <c r="AK1" s="1139"/>
      <c r="AL1" s="1139"/>
      <c r="AM1" s="1139"/>
      <c r="AN1" s="1139"/>
      <c r="AO1" s="1139"/>
      <c r="AP1" s="1139"/>
      <c r="AQ1" s="1139"/>
      <c r="AR1" s="1139"/>
      <c r="AS1" s="1139"/>
      <c r="AT1" s="1139"/>
      <c r="AU1" s="1139"/>
      <c r="AV1" s="1139"/>
      <c r="AW1" s="1139"/>
      <c r="AX1" s="1139"/>
      <c r="AY1" s="1139"/>
      <c r="AZ1" s="1139"/>
      <c r="BA1" s="1139"/>
      <c r="BB1" s="1139"/>
      <c r="BC1" s="1139"/>
      <c r="BD1" s="1139"/>
      <c r="BE1" s="1139"/>
      <c r="BF1" s="1139"/>
      <c r="BG1" s="1139"/>
      <c r="BH1" s="1139"/>
      <c r="BI1" s="1139"/>
      <c r="BJ1" s="1139"/>
      <c r="BK1" s="1139"/>
      <c r="BL1" s="1139"/>
      <c r="BM1" s="1139"/>
      <c r="BN1" s="1139"/>
      <c r="BO1" s="1139"/>
      <c r="BP1" s="1139"/>
      <c r="BQ1" s="1139"/>
      <c r="BR1" s="1139"/>
      <c r="BS1" s="1139"/>
      <c r="BT1" s="1139"/>
      <c r="BU1" s="1139"/>
      <c r="BV1" s="1139"/>
      <c r="BW1" s="1139"/>
      <c r="BX1" s="1139"/>
      <c r="BY1" s="1139"/>
      <c r="BZ1" s="1139"/>
      <c r="CA1" s="1139"/>
      <c r="CB1" s="1139"/>
      <c r="CC1" s="1139"/>
      <c r="CD1" s="1139"/>
      <c r="CE1" s="1139"/>
      <c r="CF1" s="1139"/>
      <c r="CG1" s="1139"/>
      <c r="CH1" s="1139"/>
      <c r="CI1" s="1139"/>
      <c r="CJ1" s="1139"/>
      <c r="CK1" s="1139"/>
      <c r="CL1" s="1139"/>
      <c r="CM1" s="1139"/>
      <c r="CN1" s="1139"/>
      <c r="CO1" s="1139"/>
      <c r="CP1" s="1139"/>
      <c r="CQ1" s="1139"/>
      <c r="CR1" s="1139"/>
      <c r="CS1" s="1139"/>
      <c r="CT1" s="1139"/>
      <c r="CU1" s="1139"/>
      <c r="CV1" s="1139"/>
      <c r="CW1" s="1139"/>
      <c r="CX1" s="1139"/>
      <c r="CY1" s="1139"/>
      <c r="CZ1" s="1139"/>
      <c r="DA1" s="1139"/>
      <c r="DB1" s="1139"/>
      <c r="DC1" s="1139"/>
      <c r="DD1" s="1139"/>
      <c r="DE1" s="1139"/>
      <c r="DF1" s="1139"/>
      <c r="DG1" s="1139"/>
      <c r="DH1" s="1139"/>
      <c r="DI1" s="1139"/>
      <c r="DJ1" s="1139"/>
      <c r="DK1" s="1139"/>
      <c r="DL1" s="1139"/>
      <c r="DM1" s="1139"/>
      <c r="DN1" s="1139"/>
      <c r="DO1" s="1139"/>
      <c r="DP1" s="1139"/>
      <c r="DQ1" s="1139"/>
      <c r="DR1" s="1139"/>
      <c r="DS1" s="1139"/>
      <c r="DT1" s="1139"/>
      <c r="DU1" s="1139"/>
      <c r="DV1" s="1139"/>
      <c r="DW1" s="1139"/>
      <c r="DX1" s="1139"/>
      <c r="DY1" s="1139"/>
      <c r="DZ1" s="1139"/>
      <c r="EA1" s="1139"/>
      <c r="EB1" s="1139"/>
      <c r="EC1" s="1139"/>
      <c r="ED1" s="1139"/>
      <c r="EE1" s="1139"/>
      <c r="EF1" s="1139"/>
      <c r="EG1" s="1139"/>
      <c r="EH1" s="1139"/>
      <c r="EI1" s="1139"/>
      <c r="EJ1" s="1139"/>
      <c r="EK1" s="1139"/>
      <c r="EL1" s="1139"/>
      <c r="EM1" s="1139"/>
      <c r="EN1" s="1139"/>
      <c r="EO1" s="1139"/>
      <c r="EP1" s="1139"/>
      <c r="EQ1" s="1139"/>
      <c r="ER1" s="1139"/>
      <c r="ES1" s="1139"/>
      <c r="ET1" s="1139"/>
      <c r="EU1" s="1139"/>
      <c r="EV1" s="1139"/>
      <c r="EW1" s="1139"/>
      <c r="EX1" s="1139"/>
      <c r="EY1" s="1139"/>
      <c r="EZ1" s="1139"/>
      <c r="FA1" s="1139"/>
      <c r="FB1" s="1139"/>
      <c r="FC1" s="1139"/>
      <c r="FD1" s="1139"/>
      <c r="FE1" s="1139"/>
      <c r="FF1" s="1139"/>
      <c r="FG1" s="1139"/>
      <c r="FH1" s="1139"/>
      <c r="FI1" s="1139"/>
      <c r="FJ1" s="1139"/>
      <c r="FK1" s="1139"/>
      <c r="FL1" s="1139"/>
      <c r="FM1" s="1139"/>
      <c r="FN1" s="1139"/>
      <c r="FO1" s="1139"/>
      <c r="FP1" s="1139"/>
      <c r="FQ1" s="1139"/>
      <c r="FR1" s="1139"/>
      <c r="FS1" s="1139"/>
      <c r="FT1" s="1139"/>
      <c r="FU1" s="1139"/>
      <c r="FV1" s="1139"/>
      <c r="FW1" s="1139"/>
      <c r="FX1" s="1139"/>
      <c r="FY1" s="1139"/>
      <c r="FZ1" s="1139"/>
      <c r="GA1" s="1139"/>
      <c r="GB1" s="1139"/>
      <c r="GC1" s="1139"/>
      <c r="GD1" s="1139"/>
      <c r="GE1" s="1139"/>
      <c r="GF1" s="1139"/>
      <c r="GG1" s="1139"/>
      <c r="GH1" s="1139"/>
      <c r="GI1" s="1139"/>
      <c r="GJ1" s="1139"/>
      <c r="GK1" s="1139"/>
      <c r="GL1" s="1139"/>
      <c r="GM1" s="1139"/>
      <c r="GN1" s="1139"/>
      <c r="GO1" s="1139"/>
      <c r="GP1" s="1139"/>
      <c r="GQ1" s="1139"/>
      <c r="GR1" s="1139"/>
      <c r="GS1" s="1139"/>
      <c r="GT1" s="1139"/>
      <c r="GU1" s="1139"/>
      <c r="GV1" s="1139"/>
      <c r="GW1" s="1139"/>
      <c r="GX1" s="1139"/>
      <c r="GY1" s="1139"/>
      <c r="GZ1" s="1139"/>
      <c r="HA1" s="1139"/>
      <c r="HB1" s="1139"/>
      <c r="HC1" s="1139"/>
      <c r="HD1" s="1139"/>
      <c r="HE1" s="1139"/>
      <c r="HF1" s="1139"/>
      <c r="HG1" s="1139"/>
      <c r="HH1" s="1139"/>
      <c r="HI1" s="1139"/>
      <c r="HJ1" s="1139"/>
      <c r="HK1" s="1139"/>
      <c r="HL1" s="1139"/>
      <c r="HM1" s="1139"/>
      <c r="HN1" s="1139"/>
      <c r="HO1" s="1139"/>
      <c r="HP1" s="1139"/>
      <c r="HQ1" s="1139"/>
      <c r="HR1" s="1139"/>
      <c r="HS1" s="1139"/>
      <c r="HT1" s="1139"/>
      <c r="HU1" s="1139"/>
      <c r="HV1" s="1139"/>
      <c r="HW1" s="1139"/>
      <c r="HX1" s="1139"/>
      <c r="HY1" s="1139"/>
      <c r="HZ1" s="1139"/>
      <c r="IA1" s="1139"/>
      <c r="IB1" s="1139"/>
      <c r="IC1" s="1139"/>
      <c r="ID1" s="1139"/>
      <c r="IE1" s="1139"/>
      <c r="IF1" s="1139"/>
      <c r="IG1" s="1139"/>
      <c r="IH1" s="1139"/>
      <c r="II1" s="1139"/>
      <c r="IJ1" s="1139"/>
      <c r="IK1" s="1139"/>
      <c r="IL1" s="1139"/>
      <c r="IM1" s="1139"/>
      <c r="IN1" s="1139"/>
      <c r="IO1" s="1139"/>
      <c r="IP1" s="1139"/>
      <c r="IQ1" s="1139"/>
      <c r="IR1" s="1139"/>
      <c r="IS1" s="1139"/>
      <c r="IT1" s="1139"/>
      <c r="IU1" s="1139"/>
      <c r="IV1" s="1139"/>
    </row>
    <row r="2" spans="1:256" s="598" customFormat="1" ht="60" customHeight="1">
      <c r="A2" s="1110" t="str">
        <f>'Customer Information'!A2:H2</f>
        <v>Commercial Weatherization Rebate Application, Version 1.0</v>
      </c>
      <c r="B2" s="1110"/>
      <c r="C2" s="1110"/>
      <c r="D2" s="1110"/>
      <c r="E2" s="1110"/>
      <c r="F2" s="1110"/>
      <c r="G2" s="1110"/>
      <c r="H2" s="735"/>
      <c r="I2" s="716"/>
      <c r="J2" s="716"/>
      <c r="K2" s="716"/>
      <c r="L2" s="716"/>
      <c r="M2" s="597"/>
      <c r="N2" s="597"/>
      <c r="O2" s="597"/>
      <c r="P2" s="597"/>
      <c r="Q2" s="597"/>
      <c r="R2" s="597"/>
      <c r="S2" s="597"/>
      <c r="T2" s="599"/>
      <c r="U2" s="599"/>
      <c r="V2" s="1138"/>
      <c r="W2" s="1138"/>
      <c r="X2" s="1138"/>
      <c r="Y2" s="1138"/>
      <c r="Z2" s="1138"/>
      <c r="AA2" s="1138"/>
      <c r="AB2" s="1138"/>
      <c r="AC2" s="1138"/>
      <c r="AD2" s="1138"/>
      <c r="AE2" s="1138"/>
      <c r="AF2" s="1138"/>
      <c r="AG2" s="1138"/>
      <c r="AH2" s="1138"/>
      <c r="AI2" s="1138"/>
      <c r="AJ2" s="1138"/>
      <c r="AK2" s="1138"/>
      <c r="AL2" s="1138"/>
      <c r="AM2" s="1138"/>
      <c r="AN2" s="1138"/>
      <c r="AO2" s="1138"/>
      <c r="AP2" s="1138"/>
      <c r="AQ2" s="1138"/>
      <c r="AR2" s="1138"/>
      <c r="AS2" s="1138"/>
      <c r="AT2" s="1138"/>
      <c r="AU2" s="1138"/>
      <c r="AV2" s="1138"/>
      <c r="AW2" s="1138"/>
      <c r="AX2" s="1138"/>
      <c r="AY2" s="1138"/>
      <c r="AZ2" s="1138"/>
      <c r="BA2" s="1138"/>
      <c r="BB2" s="1138"/>
      <c r="BC2" s="1138"/>
      <c r="BD2" s="1138"/>
      <c r="BE2" s="1138"/>
      <c r="BF2" s="1138"/>
      <c r="BG2" s="1138"/>
      <c r="BH2" s="1138"/>
      <c r="BI2" s="1138"/>
      <c r="BJ2" s="1138"/>
      <c r="BK2" s="1138"/>
      <c r="BL2" s="1138"/>
      <c r="BM2" s="1138"/>
      <c r="BN2" s="1138"/>
      <c r="BO2" s="1138"/>
      <c r="BP2" s="1138"/>
      <c r="BQ2" s="1138"/>
      <c r="BR2" s="1138"/>
      <c r="BS2" s="1138"/>
      <c r="BT2" s="1138"/>
      <c r="BU2" s="1138"/>
      <c r="BV2" s="1138"/>
      <c r="BW2" s="1138"/>
      <c r="BX2" s="1138"/>
      <c r="BY2" s="1138"/>
      <c r="BZ2" s="1138"/>
      <c r="CA2" s="1138"/>
      <c r="CB2" s="1138"/>
      <c r="CC2" s="1138"/>
      <c r="CD2" s="1138"/>
      <c r="CE2" s="1138"/>
      <c r="CF2" s="1138"/>
      <c r="CG2" s="1138"/>
      <c r="CH2" s="1138"/>
      <c r="CI2" s="1138"/>
      <c r="CJ2" s="1138"/>
      <c r="CK2" s="1138"/>
      <c r="CL2" s="1138"/>
      <c r="CM2" s="1138"/>
      <c r="CN2" s="1138"/>
      <c r="CO2" s="1138"/>
      <c r="CP2" s="1138"/>
      <c r="CQ2" s="1138"/>
      <c r="CR2" s="1138"/>
      <c r="CS2" s="1138"/>
      <c r="CT2" s="1138"/>
      <c r="CU2" s="1138"/>
      <c r="CV2" s="1138"/>
      <c r="CW2" s="1138"/>
      <c r="CX2" s="1138"/>
      <c r="CY2" s="1138"/>
      <c r="CZ2" s="1138"/>
      <c r="DA2" s="1138"/>
      <c r="DB2" s="1138"/>
      <c r="DC2" s="1138"/>
      <c r="DD2" s="1138"/>
      <c r="DE2" s="1138"/>
      <c r="DF2" s="1138"/>
      <c r="DG2" s="1138"/>
      <c r="DH2" s="1138"/>
      <c r="DI2" s="1138"/>
      <c r="DJ2" s="1138"/>
      <c r="DK2" s="1138"/>
      <c r="DL2" s="1138"/>
      <c r="DM2" s="1138"/>
      <c r="DN2" s="1138"/>
      <c r="DO2" s="1138"/>
      <c r="DP2" s="1138"/>
      <c r="DQ2" s="1138"/>
      <c r="DR2" s="1138"/>
      <c r="DS2" s="1138"/>
      <c r="DT2" s="1138"/>
      <c r="DU2" s="1138"/>
      <c r="DV2" s="1138"/>
      <c r="DW2" s="1138"/>
      <c r="DX2" s="1138"/>
      <c r="DY2" s="1138"/>
      <c r="DZ2" s="1138"/>
      <c r="EA2" s="1138"/>
      <c r="EB2" s="1138"/>
      <c r="EC2" s="1138"/>
      <c r="ED2" s="1138"/>
      <c r="EE2" s="1138"/>
      <c r="EF2" s="1138"/>
      <c r="EG2" s="1138"/>
      <c r="EH2" s="1138"/>
      <c r="EI2" s="1138"/>
      <c r="EJ2" s="1138"/>
      <c r="EK2" s="1138"/>
      <c r="EL2" s="1138"/>
      <c r="EM2" s="1138"/>
      <c r="EN2" s="1138"/>
      <c r="EO2" s="1138"/>
      <c r="EP2" s="1138"/>
      <c r="EQ2" s="1138"/>
      <c r="ER2" s="1138"/>
      <c r="ES2" s="1138"/>
      <c r="ET2" s="1138"/>
      <c r="EU2" s="1138"/>
      <c r="EV2" s="1138"/>
      <c r="EW2" s="1138"/>
      <c r="EX2" s="1138"/>
      <c r="EY2" s="1138"/>
      <c r="EZ2" s="1138"/>
      <c r="FA2" s="1138"/>
      <c r="FB2" s="1138"/>
      <c r="FC2" s="1138"/>
      <c r="FD2" s="1138"/>
      <c r="FE2" s="1138"/>
      <c r="FF2" s="1138"/>
      <c r="FG2" s="1138"/>
      <c r="FH2" s="1138"/>
      <c r="FI2" s="1138"/>
      <c r="FJ2" s="1138"/>
      <c r="FK2" s="1138"/>
      <c r="FL2" s="1138"/>
      <c r="FM2" s="1138"/>
      <c r="FN2" s="1138"/>
      <c r="FO2" s="1138"/>
      <c r="FP2" s="1138"/>
      <c r="FQ2" s="1138"/>
      <c r="FR2" s="1138"/>
      <c r="FS2" s="1138"/>
      <c r="FT2" s="1138"/>
      <c r="FU2" s="1138"/>
      <c r="FV2" s="1138"/>
      <c r="FW2" s="1138"/>
      <c r="FX2" s="1138"/>
      <c r="FY2" s="1138"/>
      <c r="FZ2" s="1138"/>
      <c r="GA2" s="1138"/>
      <c r="GB2" s="1138"/>
      <c r="GC2" s="1138"/>
      <c r="GD2" s="1138"/>
      <c r="GE2" s="1138"/>
      <c r="GF2" s="1138"/>
      <c r="GG2" s="1138"/>
      <c r="GH2" s="1138"/>
      <c r="GI2" s="1138"/>
      <c r="GJ2" s="1138"/>
      <c r="GK2" s="1138"/>
      <c r="GL2" s="1138"/>
      <c r="GM2" s="1138"/>
      <c r="GN2" s="1138"/>
      <c r="GO2" s="1138"/>
      <c r="GP2" s="1138"/>
      <c r="GQ2" s="1138"/>
      <c r="GR2" s="1138"/>
      <c r="GS2" s="1138"/>
      <c r="GT2" s="1138"/>
      <c r="GU2" s="1138"/>
      <c r="GV2" s="1138"/>
      <c r="GW2" s="1138"/>
      <c r="GX2" s="1138"/>
      <c r="GY2" s="1138"/>
      <c r="GZ2" s="1138"/>
      <c r="HA2" s="1138"/>
      <c r="HB2" s="1138"/>
      <c r="HC2" s="1138"/>
      <c r="HD2" s="1138"/>
      <c r="HE2" s="1138"/>
      <c r="HF2" s="1138"/>
      <c r="HG2" s="1138"/>
      <c r="HH2" s="1138"/>
      <c r="HI2" s="1138"/>
      <c r="HJ2" s="1138"/>
      <c r="HK2" s="1138"/>
      <c r="HL2" s="1138"/>
      <c r="HM2" s="1138"/>
      <c r="HN2" s="1138"/>
      <c r="HO2" s="1138"/>
      <c r="HP2" s="1138"/>
      <c r="HQ2" s="1138"/>
      <c r="HR2" s="1138"/>
      <c r="HS2" s="1138"/>
      <c r="HT2" s="1138"/>
      <c r="HU2" s="1138"/>
      <c r="HV2" s="1138"/>
      <c r="HW2" s="1138"/>
      <c r="HX2" s="1138"/>
      <c r="HY2" s="1138"/>
      <c r="HZ2" s="1138"/>
      <c r="IA2" s="1138"/>
      <c r="IB2" s="1138"/>
      <c r="IC2" s="1138"/>
      <c r="ID2" s="1138"/>
      <c r="IE2" s="1138"/>
      <c r="IF2" s="1138"/>
      <c r="IG2" s="1138"/>
      <c r="IH2" s="1138"/>
      <c r="II2" s="1138"/>
      <c r="IJ2" s="1138"/>
      <c r="IK2" s="1138"/>
      <c r="IL2" s="1138"/>
      <c r="IM2" s="1138"/>
      <c r="IN2" s="1138"/>
      <c r="IO2" s="1138"/>
      <c r="IP2" s="1138"/>
      <c r="IQ2" s="1138"/>
      <c r="IR2" s="1138"/>
      <c r="IS2" s="1138"/>
      <c r="IT2" s="1138"/>
      <c r="IU2" s="1138"/>
      <c r="IV2" s="1138"/>
    </row>
    <row r="3" spans="1:256" s="602" customFormat="1" ht="18.5" hidden="1" thickBot="1">
      <c r="A3" s="600" t="s">
        <v>787</v>
      </c>
      <c r="B3" s="600"/>
      <c r="C3" s="595"/>
      <c r="D3" s="595"/>
      <c r="E3" s="595"/>
      <c r="F3" s="595"/>
      <c r="G3" s="595"/>
      <c r="H3" s="595"/>
      <c r="I3" s="595"/>
      <c r="J3" s="595"/>
      <c r="K3" s="595"/>
      <c r="L3" s="595"/>
      <c r="M3" s="601"/>
      <c r="N3" s="601"/>
      <c r="O3" s="601"/>
    </row>
    <row r="4" spans="1:256" s="605" customFormat="1" ht="14.5" hidden="1">
      <c r="A4" s="603"/>
      <c r="B4" s="604"/>
      <c r="C4" s="604"/>
      <c r="D4" s="604"/>
      <c r="E4" s="604"/>
      <c r="F4" s="604"/>
      <c r="G4" s="604"/>
      <c r="H4" s="604"/>
      <c r="I4" s="604"/>
      <c r="J4" s="604"/>
      <c r="K4" s="604"/>
      <c r="L4" s="604"/>
      <c r="M4" s="559"/>
      <c r="N4" s="559"/>
      <c r="O4" s="559"/>
    </row>
    <row r="5" spans="1:256" s="605" customFormat="1" ht="14.5" hidden="1">
      <c r="A5" s="603"/>
      <c r="B5" s="604"/>
      <c r="C5" s="604"/>
      <c r="D5" s="604"/>
      <c r="E5" s="604"/>
      <c r="F5" s="604"/>
      <c r="G5" s="604"/>
      <c r="H5" s="604"/>
      <c r="I5" s="604"/>
      <c r="J5" s="604"/>
      <c r="K5" s="604"/>
      <c r="L5" s="604"/>
      <c r="M5" s="559"/>
      <c r="N5" s="559"/>
      <c r="O5" s="559"/>
    </row>
    <row r="6" spans="1:256" s="605" customFormat="1" ht="16.5" hidden="1" customHeight="1">
      <c r="A6" s="603"/>
      <c r="B6" s="1135"/>
      <c r="C6" s="1135"/>
      <c r="D6" s="1135"/>
      <c r="E6" s="1135"/>
      <c r="F6" s="1135"/>
      <c r="G6" s="1135"/>
      <c r="H6" s="1135"/>
      <c r="I6" s="1135"/>
      <c r="J6" s="1135"/>
      <c r="K6" s="1135"/>
      <c r="L6" s="1135"/>
      <c r="M6" s="559"/>
      <c r="N6" s="559"/>
      <c r="O6" s="559"/>
    </row>
    <row r="7" spans="1:256" s="598" customFormat="1" ht="17.149999999999999" hidden="1" customHeight="1">
      <c r="A7" s="606"/>
      <c r="B7" s="604"/>
      <c r="M7" s="559"/>
      <c r="N7" s="559"/>
      <c r="O7" s="559"/>
    </row>
    <row r="8" spans="1:256" s="608" customFormat="1" ht="16.5" hidden="1" customHeight="1">
      <c r="A8" s="607"/>
      <c r="B8" s="1135"/>
      <c r="C8" s="1135"/>
      <c r="D8" s="1135"/>
      <c r="E8" s="1135"/>
      <c r="F8" s="1135"/>
      <c r="G8" s="1135"/>
      <c r="H8" s="1135"/>
      <c r="I8" s="1135"/>
      <c r="J8" s="1135"/>
      <c r="K8" s="1135"/>
      <c r="L8" s="1135"/>
      <c r="M8" s="559"/>
      <c r="N8" s="559"/>
      <c r="O8" s="559"/>
    </row>
    <row r="9" spans="1:256" s="605" customFormat="1" ht="18.649999999999999" hidden="1" customHeight="1">
      <c r="A9" s="603"/>
      <c r="B9" s="1133"/>
      <c r="C9" s="1134"/>
      <c r="D9" s="1134"/>
      <c r="E9" s="1134"/>
      <c r="F9" s="1134"/>
      <c r="G9" s="1134"/>
      <c r="H9" s="1134"/>
      <c r="I9" s="1134"/>
      <c r="J9" s="1134"/>
      <c r="K9" s="1134"/>
      <c r="L9" s="1134"/>
      <c r="M9" s="559"/>
      <c r="N9" s="559"/>
      <c r="O9" s="559"/>
    </row>
    <row r="10" spans="1:256" s="605" customFormat="1" ht="18.649999999999999" hidden="1" customHeight="1">
      <c r="A10" s="607"/>
      <c r="B10" s="609"/>
      <c r="C10" s="604"/>
      <c r="D10" s="604"/>
      <c r="E10" s="604"/>
      <c r="F10" s="604"/>
      <c r="G10" s="604"/>
      <c r="H10" s="604"/>
      <c r="I10" s="604"/>
      <c r="J10" s="604"/>
      <c r="K10" s="604"/>
      <c r="L10" s="604"/>
      <c r="M10" s="559"/>
      <c r="N10" s="559"/>
      <c r="O10" s="559"/>
    </row>
    <row r="11" spans="1:256" s="605" customFormat="1" ht="27.65" hidden="1" customHeight="1" thickBot="1">
      <c r="A11" s="600" t="s">
        <v>785</v>
      </c>
      <c r="B11" s="600"/>
      <c r="C11" s="595"/>
      <c r="D11" s="595"/>
      <c r="E11" s="595"/>
      <c r="F11" s="595"/>
      <c r="G11" s="595"/>
      <c r="H11" s="595"/>
      <c r="I11" s="595"/>
      <c r="J11" s="595"/>
      <c r="K11" s="595"/>
      <c r="L11" s="595"/>
      <c r="M11" s="559"/>
      <c r="N11" s="559"/>
      <c r="O11" s="559"/>
    </row>
    <row r="12" spans="1:256" s="608" customFormat="1" ht="18.649999999999999" hidden="1" customHeight="1">
      <c r="A12" s="603"/>
      <c r="B12" s="604"/>
      <c r="C12" s="610"/>
      <c r="D12" s="610"/>
      <c r="E12" s="610"/>
      <c r="F12" s="610"/>
      <c r="G12" s="610"/>
      <c r="H12" s="610"/>
      <c r="I12" s="610"/>
      <c r="J12" s="610"/>
      <c r="K12" s="610"/>
      <c r="L12" s="610"/>
      <c r="M12" s="559"/>
      <c r="N12" s="559"/>
      <c r="O12" s="559"/>
    </row>
    <row r="13" spans="1:256" s="608" customFormat="1" ht="18.649999999999999" hidden="1" customHeight="1">
      <c r="A13" s="603"/>
      <c r="B13" s="604"/>
      <c r="C13" s="610"/>
      <c r="D13" s="610"/>
      <c r="E13" s="610"/>
      <c r="F13" s="610"/>
      <c r="G13" s="610"/>
      <c r="H13" s="610"/>
      <c r="I13" s="610"/>
      <c r="J13" s="610"/>
      <c r="K13" s="610"/>
      <c r="L13" s="610"/>
      <c r="M13" s="559"/>
      <c r="N13" s="559"/>
      <c r="O13" s="559"/>
    </row>
    <row r="14" spans="1:256" s="608" customFormat="1" ht="19.5" hidden="1" customHeight="1">
      <c r="A14" s="603"/>
      <c r="B14" s="604"/>
      <c r="C14" s="610"/>
      <c r="D14" s="610"/>
      <c r="E14" s="610"/>
      <c r="F14" s="610"/>
      <c r="G14" s="610"/>
      <c r="H14" s="610"/>
      <c r="I14" s="610"/>
      <c r="J14" s="610"/>
      <c r="K14" s="610"/>
      <c r="L14" s="610"/>
      <c r="M14" s="559"/>
      <c r="N14" s="559"/>
      <c r="O14" s="559"/>
    </row>
    <row r="15" spans="1:256" s="605" customFormat="1" ht="15.65" hidden="1" customHeight="1">
      <c r="A15" s="607"/>
      <c r="B15" s="1135"/>
      <c r="C15" s="1135"/>
      <c r="D15" s="1135"/>
      <c r="E15" s="1135"/>
      <c r="F15" s="1135"/>
      <c r="G15" s="1135"/>
      <c r="H15" s="1135"/>
      <c r="I15" s="1135"/>
      <c r="J15" s="1135"/>
      <c r="K15" s="1135"/>
      <c r="L15" s="1135"/>
      <c r="M15" s="559"/>
      <c r="N15" s="559"/>
      <c r="O15" s="559"/>
    </row>
    <row r="16" spans="1:256" s="605" customFormat="1" ht="16.399999999999999" hidden="1" customHeight="1">
      <c r="A16" s="607"/>
      <c r="B16" s="1136"/>
      <c r="C16" s="1137"/>
      <c r="D16" s="611"/>
      <c r="E16" s="611"/>
      <c r="F16" s="611"/>
      <c r="G16" s="611"/>
      <c r="H16" s="611"/>
      <c r="I16" s="611"/>
      <c r="J16" s="611"/>
      <c r="K16" s="611"/>
      <c r="L16" s="611"/>
      <c r="M16" s="559"/>
      <c r="N16" s="559"/>
      <c r="O16" s="559"/>
    </row>
    <row r="17" spans="1:15" s="605" customFormat="1" ht="18.649999999999999" hidden="1" customHeight="1">
      <c r="A17" s="607"/>
      <c r="B17" s="604"/>
      <c r="C17" s="604"/>
      <c r="D17" s="604"/>
      <c r="E17" s="604"/>
      <c r="F17" s="604"/>
      <c r="G17" s="604"/>
      <c r="H17" s="604"/>
      <c r="I17" s="604"/>
      <c r="J17" s="604"/>
      <c r="K17" s="604"/>
      <c r="L17" s="604"/>
      <c r="M17" s="559"/>
      <c r="N17" s="559"/>
      <c r="O17" s="559"/>
    </row>
    <row r="18" spans="1:15" s="614" customFormat="1" ht="33" hidden="1" customHeight="1">
      <c r="A18" s="612"/>
      <c r="B18" s="1135"/>
      <c r="C18" s="1135"/>
      <c r="D18" s="1135"/>
      <c r="E18" s="1135"/>
      <c r="F18" s="1135"/>
      <c r="G18" s="1135"/>
      <c r="H18" s="1135"/>
      <c r="I18" s="1135"/>
      <c r="J18" s="1135"/>
      <c r="K18" s="1135"/>
      <c r="L18" s="611"/>
      <c r="M18" s="613"/>
      <c r="N18" s="613"/>
      <c r="O18" s="613"/>
    </row>
    <row r="19" spans="1:15" s="605" customFormat="1" ht="28" customHeight="1" thickBot="1">
      <c r="A19" s="736"/>
      <c r="B19" s="736"/>
      <c r="C19" s="737"/>
      <c r="D19" s="737"/>
      <c r="E19" s="737"/>
      <c r="F19" s="737"/>
      <c r="G19" s="737"/>
      <c r="H19" s="737"/>
      <c r="I19" s="738"/>
      <c r="J19" s="738"/>
      <c r="K19" s="738"/>
      <c r="L19" s="738"/>
      <c r="M19" s="559"/>
      <c r="N19" s="559"/>
      <c r="O19" s="559"/>
    </row>
    <row r="20" spans="1:15" s="214" customFormat="1" ht="14.15" customHeight="1">
      <c r="A20" s="1129" t="s">
        <v>2291</v>
      </c>
      <c r="B20" s="1129"/>
      <c r="C20" s="1129"/>
      <c r="D20" s="1129"/>
    </row>
    <row r="21" spans="1:15" s="214" customFormat="1" ht="14.15" customHeight="1">
      <c r="A21" s="1130"/>
      <c r="B21" s="1130"/>
      <c r="C21" s="1130"/>
      <c r="D21" s="1130"/>
    </row>
    <row r="22" spans="1:15" s="214" customFormat="1" ht="8.15" customHeight="1">
      <c r="A22" s="462"/>
    </row>
    <row r="23" spans="1:15" s="661" customFormat="1" ht="19" customHeight="1">
      <c r="A23" s="1114" t="s">
        <v>2292</v>
      </c>
      <c r="B23" s="1131"/>
      <c r="C23" s="1131"/>
      <c r="D23" s="1131"/>
      <c r="E23" s="1131"/>
      <c r="F23" s="1131"/>
      <c r="G23" s="1131"/>
      <c r="H23" s="1131"/>
      <c r="I23" s="1131"/>
      <c r="J23" s="1131"/>
      <c r="K23" s="1131"/>
    </row>
    <row r="24" spans="1:15" s="661" customFormat="1" ht="19" customHeight="1">
      <c r="A24" s="1131"/>
      <c r="B24" s="1131"/>
      <c r="C24" s="1131"/>
      <c r="D24" s="1131"/>
      <c r="E24" s="1131"/>
      <c r="F24" s="1131"/>
      <c r="G24" s="1131"/>
      <c r="H24" s="1131"/>
      <c r="I24" s="1131"/>
      <c r="J24" s="1131"/>
      <c r="K24" s="1131"/>
    </row>
    <row r="25" spans="1:15" s="661" customFormat="1" ht="11.5" customHeight="1">
      <c r="A25" s="703"/>
      <c r="B25" s="703"/>
      <c r="C25" s="703"/>
      <c r="D25" s="703"/>
      <c r="E25" s="703"/>
      <c r="F25" s="703"/>
      <c r="G25" s="703"/>
      <c r="H25" s="703"/>
      <c r="I25" s="703"/>
      <c r="J25" s="703"/>
      <c r="K25" s="703"/>
    </row>
    <row r="26" spans="1:15" s="661" customFormat="1" ht="19" customHeight="1">
      <c r="A26" s="704" t="s">
        <v>2316</v>
      </c>
      <c r="B26" s="703"/>
      <c r="C26" s="703"/>
      <c r="D26" s="703"/>
      <c r="E26" s="703"/>
      <c r="F26" s="703"/>
      <c r="G26" s="703"/>
      <c r="H26" s="703"/>
      <c r="I26" s="703"/>
      <c r="J26" s="703"/>
      <c r="K26" s="703"/>
    </row>
    <row r="27" spans="1:15" s="661" customFormat="1" ht="10.5" customHeight="1">
      <c r="A27" s="703"/>
      <c r="B27" s="703"/>
      <c r="C27" s="703"/>
      <c r="D27" s="703"/>
      <c r="E27" s="703"/>
      <c r="F27" s="703"/>
      <c r="G27" s="703"/>
      <c r="H27" s="703"/>
      <c r="I27" s="703"/>
      <c r="J27" s="703"/>
      <c r="K27" s="703"/>
    </row>
    <row r="28" spans="1:15" s="661" customFormat="1" ht="19" customHeight="1">
      <c r="A28" s="704" t="s">
        <v>2295</v>
      </c>
      <c r="D28" s="664"/>
      <c r="E28" s="664"/>
      <c r="F28" s="664"/>
      <c r="G28" s="662"/>
      <c r="H28" s="663"/>
      <c r="I28" s="663"/>
    </row>
    <row r="29" spans="1:15" s="661" customFormat="1" ht="10.5" customHeight="1">
      <c r="A29" s="704"/>
      <c r="D29" s="663"/>
      <c r="E29" s="663"/>
      <c r="F29" s="663"/>
      <c r="G29" s="663"/>
      <c r="H29" s="663"/>
      <c r="I29" s="663"/>
    </row>
    <row r="30" spans="1:15" s="661" customFormat="1" ht="19" customHeight="1">
      <c r="A30" s="654" t="s">
        <v>2293</v>
      </c>
    </row>
    <row r="31" spans="1:15" s="661" customFormat="1" ht="10.5" customHeight="1">
      <c r="A31" s="654"/>
    </row>
    <row r="32" spans="1:15" s="661" customFormat="1" ht="19" customHeight="1">
      <c r="A32" s="704" t="s">
        <v>2296</v>
      </c>
      <c r="D32" s="667"/>
      <c r="E32" s="668"/>
      <c r="F32" s="666"/>
      <c r="G32" s="666"/>
      <c r="H32" s="666"/>
      <c r="I32" s="666"/>
    </row>
    <row r="33" spans="1:11" s="661" customFormat="1" ht="10.5" customHeight="1">
      <c r="A33" s="704"/>
      <c r="D33" s="667"/>
      <c r="E33" s="668"/>
      <c r="F33" s="666"/>
      <c r="G33" s="666"/>
      <c r="H33" s="666"/>
      <c r="I33" s="666"/>
    </row>
    <row r="34" spans="1:11" s="661" customFormat="1" ht="19" customHeight="1">
      <c r="A34" s="704" t="s">
        <v>2294</v>
      </c>
      <c r="D34" s="667"/>
      <c r="E34" s="668"/>
      <c r="F34" s="666"/>
      <c r="G34" s="666"/>
      <c r="H34" s="666"/>
      <c r="I34" s="666"/>
    </row>
    <row r="35" spans="1:11" s="661" customFormat="1" ht="10.5" customHeight="1">
      <c r="A35" s="704"/>
      <c r="D35" s="89"/>
      <c r="E35" s="89"/>
      <c r="F35" s="89"/>
      <c r="G35" s="89"/>
      <c r="H35" s="89"/>
      <c r="I35" s="89"/>
    </row>
    <row r="36" spans="1:11" s="661" customFormat="1" ht="19" customHeight="1">
      <c r="A36" s="1132" t="s">
        <v>2297</v>
      </c>
      <c r="B36" s="1132"/>
      <c r="C36" s="1132"/>
      <c r="D36" s="1132"/>
      <c r="E36" s="1132"/>
      <c r="F36" s="1132"/>
      <c r="G36" s="1132"/>
      <c r="H36" s="1132"/>
      <c r="I36" s="1132"/>
      <c r="J36" s="1132"/>
      <c r="K36" s="1132"/>
    </row>
    <row r="37" spans="1:11" s="661" customFormat="1" ht="19" customHeight="1">
      <c r="A37" s="1132"/>
      <c r="B37" s="1132"/>
      <c r="C37" s="1132"/>
      <c r="D37" s="1132"/>
      <c r="E37" s="1132"/>
      <c r="F37" s="1132"/>
      <c r="G37" s="1132"/>
      <c r="H37" s="1132"/>
      <c r="I37" s="1132"/>
      <c r="J37" s="1132"/>
      <c r="K37" s="1132"/>
    </row>
    <row r="38" spans="1:11" s="661" customFormat="1" ht="10.5" customHeight="1">
      <c r="A38" s="705"/>
      <c r="B38" s="705"/>
      <c r="C38" s="705"/>
      <c r="D38" s="705"/>
      <c r="E38" s="705"/>
      <c r="F38" s="705"/>
      <c r="G38" s="705"/>
      <c r="H38" s="705"/>
      <c r="I38" s="705"/>
      <c r="J38" s="705"/>
      <c r="K38" s="705"/>
    </row>
    <row r="39" spans="1:11" s="661" customFormat="1" ht="19" customHeight="1">
      <c r="A39" s="1132" t="s">
        <v>2298</v>
      </c>
      <c r="B39" s="1132"/>
      <c r="C39" s="1132"/>
      <c r="D39" s="1132"/>
      <c r="E39" s="1132"/>
      <c r="F39" s="1132"/>
      <c r="G39" s="1132"/>
      <c r="H39" s="1132"/>
      <c r="I39" s="1132"/>
      <c r="J39" s="1132"/>
      <c r="K39" s="1132"/>
    </row>
    <row r="40" spans="1:11" s="661" customFormat="1" ht="19" customHeight="1">
      <c r="A40" s="1132"/>
      <c r="B40" s="1132"/>
      <c r="C40" s="1132"/>
      <c r="D40" s="1132"/>
      <c r="E40" s="1132"/>
      <c r="F40" s="1132"/>
      <c r="G40" s="1132"/>
      <c r="H40" s="1132"/>
      <c r="I40" s="1132"/>
      <c r="J40" s="1132"/>
      <c r="K40" s="1132"/>
    </row>
    <row r="41" spans="1:11" s="661" customFormat="1" ht="28.5" customHeight="1">
      <c r="A41" s="1132"/>
      <c r="B41" s="1132"/>
      <c r="C41" s="1132"/>
      <c r="D41" s="1132"/>
      <c r="E41" s="1132"/>
      <c r="F41" s="1132"/>
      <c r="G41" s="1132"/>
      <c r="H41" s="1132"/>
      <c r="I41" s="1132"/>
      <c r="J41" s="1132"/>
      <c r="K41" s="1132"/>
    </row>
    <row r="42" spans="1:11" s="661" customFormat="1" ht="19" customHeight="1">
      <c r="A42" s="702"/>
      <c r="B42" s="665"/>
      <c r="C42" s="701"/>
      <c r="D42" s="671"/>
      <c r="E42" s="671"/>
      <c r="F42" s="671"/>
      <c r="G42" s="671"/>
      <c r="H42" s="671"/>
      <c r="I42" s="671"/>
    </row>
    <row r="43" spans="1:11" s="661" customFormat="1" ht="19" customHeight="1">
      <c r="B43" s="666"/>
      <c r="C43" s="701"/>
      <c r="D43" s="666"/>
      <c r="E43" s="666"/>
      <c r="F43" s="666"/>
      <c r="G43" s="666"/>
      <c r="H43" s="666"/>
      <c r="I43" s="666"/>
    </row>
    <row r="44" spans="1:11" s="661" customFormat="1" ht="19" customHeight="1">
      <c r="B44" s="666"/>
      <c r="C44" s="701"/>
      <c r="D44" s="666"/>
      <c r="E44" s="666"/>
      <c r="F44" s="666"/>
      <c r="G44" s="666"/>
      <c r="H44" s="666"/>
      <c r="I44" s="666"/>
    </row>
    <row r="45" spans="1:11" s="661" customFormat="1" ht="19" customHeight="1">
      <c r="A45" s="702"/>
      <c r="B45" s="666"/>
      <c r="C45" s="701"/>
      <c r="D45" s="666"/>
      <c r="E45" s="666"/>
      <c r="F45" s="666"/>
      <c r="G45" s="666"/>
      <c r="H45" s="666"/>
      <c r="I45" s="666"/>
    </row>
    <row r="46" spans="1:11" s="661" customFormat="1" ht="19" customHeight="1">
      <c r="B46" s="666"/>
      <c r="C46" s="701"/>
      <c r="D46" s="666"/>
      <c r="E46" s="666"/>
      <c r="F46" s="666"/>
      <c r="G46" s="666"/>
      <c r="H46" s="666"/>
      <c r="I46" s="666"/>
    </row>
    <row r="47" spans="1:11" s="661" customFormat="1" ht="19" hidden="1" customHeight="1">
      <c r="B47" s="666"/>
      <c r="C47" s="701"/>
      <c r="D47" s="666"/>
      <c r="E47" s="666"/>
      <c r="F47" s="666"/>
      <c r="G47" s="666"/>
      <c r="H47" s="666"/>
      <c r="I47" s="666"/>
    </row>
    <row r="48" spans="1:11" s="661" customFormat="1" ht="19" hidden="1" customHeight="1">
      <c r="A48" s="702"/>
      <c r="B48" s="666"/>
      <c r="C48" s="701"/>
      <c r="D48" s="666"/>
      <c r="E48" s="666"/>
      <c r="F48" s="666"/>
      <c r="G48" s="669"/>
      <c r="H48" s="666"/>
      <c r="I48" s="666"/>
    </row>
    <row r="49" spans="1:9" s="661" customFormat="1" ht="19" hidden="1" customHeight="1">
      <c r="B49" s="665"/>
      <c r="C49" s="701"/>
      <c r="D49" s="666"/>
      <c r="E49" s="666"/>
      <c r="F49" s="666"/>
      <c r="G49" s="666"/>
      <c r="H49" s="666"/>
      <c r="I49" s="666"/>
    </row>
    <row r="50" spans="1:9" s="661" customFormat="1" ht="19" hidden="1" customHeight="1">
      <c r="A50" s="702"/>
      <c r="B50" s="672"/>
      <c r="C50" s="701"/>
      <c r="D50" s="673"/>
      <c r="E50" s="673"/>
      <c r="F50" s="673"/>
      <c r="G50" s="673"/>
      <c r="H50" s="673"/>
      <c r="I50" s="673"/>
    </row>
    <row r="51" spans="1:9" s="661" customFormat="1" ht="19" hidden="1" customHeight="1">
      <c r="A51" s="702"/>
      <c r="B51" s="668"/>
      <c r="C51" s="701"/>
      <c r="D51" s="666"/>
      <c r="E51" s="666"/>
      <c r="F51" s="666"/>
      <c r="G51" s="666"/>
      <c r="H51" s="666"/>
      <c r="I51" s="666"/>
    </row>
    <row r="52" spans="1:9" s="661" customFormat="1" ht="14.15" hidden="1" customHeight="1">
      <c r="A52" s="702"/>
      <c r="B52" s="668"/>
      <c r="C52" s="701"/>
      <c r="D52" s="666"/>
      <c r="E52" s="666"/>
      <c r="F52" s="666"/>
      <c r="G52" s="666"/>
      <c r="H52" s="666"/>
      <c r="I52" s="666"/>
    </row>
    <row r="53" spans="1:9" s="661" customFormat="1" ht="14.15" hidden="1" customHeight="1">
      <c r="A53" s="702"/>
      <c r="B53" s="672"/>
      <c r="C53" s="701"/>
      <c r="D53" s="673"/>
      <c r="E53" s="673"/>
      <c r="F53" s="673"/>
      <c r="G53" s="673"/>
      <c r="H53" s="673"/>
      <c r="I53" s="673"/>
    </row>
    <row r="54" spans="1:9" s="661" customFormat="1" ht="14.15" hidden="1" customHeight="1">
      <c r="A54" s="702"/>
      <c r="B54" s="668"/>
      <c r="C54" s="701"/>
      <c r="D54" s="666"/>
      <c r="E54" s="666"/>
      <c r="F54" s="666"/>
      <c r="G54" s="666"/>
      <c r="H54" s="666"/>
      <c r="I54" s="666"/>
    </row>
    <row r="55" spans="1:9" s="661" customFormat="1" ht="14.15" hidden="1" customHeight="1">
      <c r="A55" s="702"/>
      <c r="B55" s="668"/>
      <c r="C55" s="701"/>
      <c r="D55" s="666"/>
      <c r="E55" s="666"/>
      <c r="F55" s="666"/>
      <c r="G55" s="666"/>
      <c r="H55" s="666"/>
      <c r="I55" s="666"/>
    </row>
    <row r="56" spans="1:9" s="661" customFormat="1" ht="14.15" hidden="1" customHeight="1">
      <c r="A56" s="653"/>
      <c r="B56" s="668"/>
      <c r="C56" s="701"/>
      <c r="D56" s="666"/>
      <c r="E56" s="666"/>
      <c r="F56" s="666"/>
      <c r="G56" s="666"/>
      <c r="H56" s="666"/>
      <c r="I56" s="666"/>
    </row>
    <row r="57" spans="1:9" s="661" customFormat="1" ht="14.15" hidden="1" customHeight="1">
      <c r="A57" s="653"/>
      <c r="B57" s="668"/>
      <c r="C57" s="701"/>
      <c r="D57" s="666"/>
      <c r="E57" s="666"/>
      <c r="F57" s="666"/>
      <c r="G57" s="666"/>
      <c r="H57" s="666"/>
      <c r="I57" s="666"/>
    </row>
    <row r="58" spans="1:9" s="661" customFormat="1" ht="14.15" hidden="1" customHeight="1">
      <c r="A58" s="653"/>
      <c r="B58" s="668"/>
      <c r="C58" s="701"/>
      <c r="D58" s="666"/>
      <c r="E58" s="666"/>
      <c r="F58" s="666"/>
      <c r="G58" s="666"/>
      <c r="H58" s="666"/>
      <c r="I58" s="666"/>
    </row>
    <row r="59" spans="1:9" s="661" customFormat="1" ht="14.15" hidden="1" customHeight="1">
      <c r="A59" s="653"/>
      <c r="B59" s="668"/>
      <c r="C59" s="701"/>
      <c r="D59" s="666"/>
      <c r="E59" s="666"/>
      <c r="F59" s="666"/>
      <c r="G59" s="666"/>
      <c r="H59" s="666"/>
      <c r="I59" s="666"/>
    </row>
    <row r="60" spans="1:9" s="661" customFormat="1" ht="14.15" hidden="1" customHeight="1">
      <c r="A60" s="653"/>
      <c r="B60" s="672"/>
      <c r="C60" s="701"/>
      <c r="D60" s="673"/>
      <c r="E60" s="673"/>
      <c r="F60" s="673"/>
      <c r="G60" s="673"/>
      <c r="H60" s="673"/>
      <c r="I60" s="673"/>
    </row>
    <row r="61" spans="1:9" s="661" customFormat="1" ht="14.15" hidden="1" customHeight="1">
      <c r="A61" s="653"/>
      <c r="B61" s="668"/>
      <c r="C61" s="701"/>
      <c r="D61" s="666"/>
      <c r="E61" s="666"/>
      <c r="F61" s="666"/>
      <c r="G61" s="666"/>
      <c r="H61" s="666"/>
      <c r="I61" s="666"/>
    </row>
    <row r="62" spans="1:9" s="661" customFormat="1" ht="14.15" hidden="1" customHeight="1">
      <c r="A62" s="653"/>
      <c r="B62" s="668"/>
      <c r="C62" s="701"/>
      <c r="D62" s="666"/>
      <c r="E62" s="666"/>
      <c r="F62" s="666"/>
      <c r="G62" s="666"/>
      <c r="H62" s="666"/>
      <c r="I62" s="666"/>
    </row>
    <row r="63" spans="1:9" s="661" customFormat="1" ht="14.15" hidden="1" customHeight="1">
      <c r="A63" s="653"/>
      <c r="B63" s="668"/>
      <c r="C63" s="666"/>
      <c r="D63" s="666"/>
      <c r="E63" s="666"/>
      <c r="F63" s="666"/>
      <c r="G63" s="666"/>
      <c r="H63" s="666"/>
      <c r="I63" s="666"/>
    </row>
    <row r="64" spans="1:9" s="661" customFormat="1" ht="14.15" hidden="1" customHeight="1">
      <c r="A64" s="653"/>
      <c r="B64" s="668"/>
      <c r="C64" s="666"/>
      <c r="D64" s="666"/>
      <c r="E64" s="666"/>
      <c r="F64" s="666"/>
      <c r="G64" s="666"/>
      <c r="H64" s="666"/>
      <c r="I64" s="666"/>
    </row>
    <row r="65" spans="1:15" s="661" customFormat="1" ht="14.15" hidden="1" customHeight="1">
      <c r="A65" s="653"/>
      <c r="B65" s="672"/>
      <c r="C65" s="673"/>
      <c r="D65" s="673"/>
      <c r="E65" s="673"/>
      <c r="F65" s="673"/>
      <c r="G65" s="673"/>
      <c r="H65" s="673"/>
      <c r="I65" s="673"/>
    </row>
    <row r="66" spans="1:15" s="661" customFormat="1" ht="14.15" hidden="1" customHeight="1">
      <c r="A66" s="653"/>
      <c r="B66" s="668"/>
      <c r="C66" s="666"/>
      <c r="D66" s="666"/>
      <c r="E66" s="666"/>
      <c r="F66" s="666"/>
      <c r="G66" s="673"/>
      <c r="H66" s="673"/>
      <c r="I66" s="673"/>
    </row>
    <row r="67" spans="1:15" s="661" customFormat="1" ht="14.15" hidden="1" customHeight="1">
      <c r="A67" s="653"/>
      <c r="B67" s="668"/>
      <c r="C67" s="666"/>
      <c r="D67" s="666"/>
      <c r="E67" s="666"/>
      <c r="F67" s="666"/>
      <c r="G67" s="673"/>
      <c r="H67" s="673"/>
      <c r="I67" s="673"/>
    </row>
    <row r="68" spans="1:15" s="661" customFormat="1" ht="14.15" hidden="1" customHeight="1">
      <c r="A68" s="653"/>
      <c r="B68" s="668"/>
      <c r="C68" s="666"/>
      <c r="D68" s="666"/>
      <c r="E68" s="666"/>
      <c r="F68" s="666"/>
      <c r="G68" s="673"/>
      <c r="H68" s="673"/>
      <c r="I68" s="673"/>
    </row>
    <row r="69" spans="1:15" s="661" customFormat="1" ht="14.15" hidden="1" customHeight="1">
      <c r="A69" s="653"/>
      <c r="B69" s="674"/>
      <c r="C69" s="675"/>
      <c r="D69" s="675"/>
      <c r="E69" s="675"/>
      <c r="F69" s="675"/>
      <c r="G69" s="676"/>
      <c r="H69" s="676"/>
      <c r="I69" s="676"/>
    </row>
    <row r="70" spans="1:15" s="661" customFormat="1" ht="14.15" hidden="1" customHeight="1">
      <c r="A70" s="653"/>
      <c r="B70" s="662"/>
      <c r="C70" s="663"/>
      <c r="D70" s="677"/>
      <c r="E70" s="678"/>
      <c r="F70" s="662"/>
      <c r="G70" s="677"/>
      <c r="H70" s="662"/>
      <c r="I70" s="677"/>
    </row>
    <row r="71" spans="1:15" s="661" customFormat="1" ht="14.15" hidden="1" customHeight="1">
      <c r="A71" s="653"/>
      <c r="B71" s="662"/>
      <c r="C71" s="663"/>
      <c r="D71" s="677"/>
      <c r="E71" s="678"/>
      <c r="F71" s="662"/>
      <c r="G71" s="677"/>
      <c r="H71" s="662"/>
      <c r="I71" s="677"/>
    </row>
    <row r="72" spans="1:15" s="661" customFormat="1" ht="14.15" hidden="1" customHeight="1">
      <c r="A72" s="653"/>
      <c r="B72" s="679"/>
      <c r="C72" s="680"/>
      <c r="D72" s="681"/>
      <c r="E72" s="676"/>
      <c r="F72" s="679"/>
      <c r="G72" s="680"/>
      <c r="H72" s="680"/>
      <c r="I72" s="681"/>
    </row>
    <row r="73" spans="1:15" s="661" customFormat="1" ht="14.15" hidden="1" customHeight="1">
      <c r="A73" s="653"/>
      <c r="B73" s="682"/>
      <c r="C73" s="683"/>
      <c r="D73" s="684"/>
      <c r="E73" s="685"/>
      <c r="F73" s="682"/>
      <c r="G73" s="683"/>
      <c r="H73" s="683"/>
      <c r="I73" s="684"/>
    </row>
    <row r="74" spans="1:15" s="661" customFormat="1" ht="14.15" hidden="1" customHeight="1">
      <c r="A74" s="653"/>
      <c r="B74" s="686"/>
      <c r="C74" s="686"/>
      <c r="D74" s="686"/>
      <c r="E74" s="687"/>
      <c r="F74" s="687"/>
      <c r="G74" s="674"/>
      <c r="H74" s="688"/>
      <c r="I74" s="689"/>
    </row>
    <row r="75" spans="1:15" s="654" customFormat="1" ht="16" hidden="1" customHeight="1">
      <c r="A75" s="653"/>
      <c r="B75" s="89"/>
      <c r="C75" s="89"/>
      <c r="D75" s="89"/>
      <c r="E75" s="690"/>
      <c r="F75" s="690"/>
      <c r="G75" s="691"/>
      <c r="H75" s="692"/>
      <c r="I75" s="693"/>
    </row>
    <row r="76" spans="1:15" s="661" customFormat="1" ht="15" hidden="1" customHeight="1">
      <c r="A76" s="658"/>
      <c r="B76" s="686"/>
      <c r="C76" s="686"/>
      <c r="D76" s="686"/>
      <c r="E76" s="687"/>
      <c r="F76" s="690"/>
      <c r="G76" s="691"/>
      <c r="H76" s="692"/>
      <c r="I76" s="693"/>
    </row>
    <row r="77" spans="1:15" s="89" customFormat="1" ht="15" hidden="1" customHeight="1">
      <c r="A77" s="694"/>
      <c r="E77" s="690"/>
      <c r="F77" s="690"/>
      <c r="G77" s="691"/>
      <c r="H77" s="692"/>
      <c r="I77" s="693"/>
      <c r="J77" s="694"/>
      <c r="K77" s="694"/>
      <c r="L77" s="694"/>
      <c r="M77" s="660"/>
      <c r="N77" s="660"/>
      <c r="O77" s="660"/>
    </row>
    <row r="78" spans="1:15" s="657" customFormat="1" ht="18" hidden="1" customHeight="1">
      <c r="A78" s="655"/>
      <c r="B78" s="686"/>
      <c r="C78" s="686"/>
      <c r="D78" s="686"/>
      <c r="E78" s="687"/>
      <c r="F78" s="690"/>
      <c r="G78" s="691"/>
      <c r="H78" s="692"/>
      <c r="I78" s="693"/>
      <c r="J78" s="655"/>
      <c r="K78" s="655"/>
      <c r="L78" s="655"/>
      <c r="M78" s="656"/>
      <c r="N78" s="656"/>
      <c r="O78" s="656"/>
    </row>
    <row r="79" spans="1:15" s="654" customFormat="1" ht="16.5" hidden="1" customHeight="1">
      <c r="A79" s="658"/>
      <c r="B79" s="89"/>
      <c r="C79" s="89"/>
      <c r="D79" s="89"/>
      <c r="E79" s="690"/>
      <c r="F79" s="690"/>
      <c r="G79" s="691"/>
      <c r="H79" s="692"/>
      <c r="I79" s="693"/>
      <c r="J79" s="659"/>
      <c r="K79" s="659"/>
      <c r="L79" s="659"/>
      <c r="M79" s="660"/>
      <c r="N79" s="660"/>
      <c r="O79" s="660"/>
    </row>
    <row r="80" spans="1:15" s="654" customFormat="1" ht="16.5" hidden="1" customHeight="1">
      <c r="A80" s="658"/>
      <c r="B80" s="686"/>
      <c r="C80" s="686"/>
      <c r="D80" s="686"/>
      <c r="E80" s="687"/>
      <c r="F80" s="690"/>
      <c r="G80" s="691"/>
      <c r="H80" s="692"/>
      <c r="I80" s="693"/>
      <c r="J80" s="659"/>
      <c r="K80" s="659"/>
      <c r="L80" s="659"/>
      <c r="M80" s="660"/>
      <c r="N80" s="660"/>
      <c r="O80" s="660"/>
    </row>
    <row r="81" spans="1:256" s="661" customFormat="1" ht="15" hidden="1" customHeight="1">
      <c r="A81" s="658"/>
      <c r="B81" s="89"/>
      <c r="C81" s="89"/>
      <c r="D81" s="89"/>
      <c r="E81" s="690"/>
      <c r="F81" s="690"/>
      <c r="G81" s="691"/>
      <c r="H81" s="692"/>
      <c r="I81" s="693"/>
      <c r="J81" s="659"/>
      <c r="K81" s="659"/>
      <c r="L81" s="659"/>
      <c r="M81" s="660"/>
      <c r="N81" s="660"/>
      <c r="O81" s="660"/>
    </row>
    <row r="82" spans="1:256" s="661" customFormat="1" ht="15" hidden="1" customHeight="1">
      <c r="A82" s="658"/>
      <c r="B82" s="654"/>
      <c r="C82" s="654"/>
      <c r="D82" s="654"/>
      <c r="E82" s="654"/>
      <c r="F82" s="654"/>
      <c r="G82" s="654"/>
      <c r="H82" s="654"/>
      <c r="I82" s="654"/>
      <c r="J82" s="659"/>
      <c r="K82" s="659"/>
      <c r="L82" s="659"/>
      <c r="M82" s="660"/>
      <c r="N82" s="660"/>
      <c r="O82" s="660"/>
    </row>
    <row r="83" spans="1:256" s="661" customFormat="1" ht="15" hidden="1" customHeight="1">
      <c r="A83" s="658"/>
      <c r="B83" s="668"/>
      <c r="C83" s="666"/>
      <c r="D83" s="666"/>
      <c r="E83" s="695"/>
      <c r="F83" s="688"/>
      <c r="G83" s="696"/>
      <c r="H83" s="687"/>
      <c r="I83" s="674"/>
      <c r="J83" s="659"/>
      <c r="K83" s="659"/>
      <c r="L83" s="659"/>
      <c r="M83" s="660"/>
      <c r="N83" s="660"/>
      <c r="O83" s="660"/>
    </row>
    <row r="84" spans="1:256" s="661" customFormat="1" ht="17.5" hidden="1" customHeight="1">
      <c r="A84" s="658"/>
      <c r="B84" s="668"/>
      <c r="C84" s="666"/>
      <c r="D84" s="666"/>
      <c r="E84" s="697"/>
      <c r="F84" s="698"/>
      <c r="G84" s="699"/>
      <c r="H84" s="700"/>
      <c r="I84" s="670"/>
      <c r="J84" s="659"/>
      <c r="K84" s="659"/>
      <c r="L84" s="659"/>
      <c r="M84" s="660"/>
      <c r="N84" s="660"/>
      <c r="O84" s="660"/>
    </row>
    <row r="85" spans="1:256" s="162" customFormat="1" ht="17.5" hidden="1" customHeight="1">
      <c r="A85" s="472"/>
      <c r="B85" s="226"/>
      <c r="C85" s="226"/>
      <c r="D85" s="226"/>
      <c r="E85" s="226"/>
      <c r="F85" s="226"/>
      <c r="G85" s="226"/>
      <c r="H85" s="226"/>
      <c r="I85" s="226"/>
      <c r="J85" s="226"/>
      <c r="K85" s="226"/>
      <c r="L85" s="226"/>
      <c r="M85" s="473"/>
      <c r="N85" s="473"/>
      <c r="O85" s="473"/>
    </row>
    <row r="86" spans="1:256" s="162" customFormat="1" ht="16" hidden="1" customHeight="1">
      <c r="A86" s="472"/>
      <c r="B86" s="226"/>
      <c r="C86" s="226"/>
      <c r="D86" s="226"/>
      <c r="E86" s="226"/>
      <c r="F86" s="226"/>
      <c r="G86" s="226"/>
      <c r="H86" s="226"/>
      <c r="I86" s="226"/>
      <c r="J86" s="226"/>
      <c r="K86" s="226"/>
      <c r="L86" s="226"/>
      <c r="M86" s="473"/>
      <c r="N86" s="473"/>
      <c r="O86" s="473"/>
    </row>
    <row r="87" spans="1:256" ht="16.5" hidden="1" customHeight="1">
      <c r="C87" s="229"/>
      <c r="E87" s="507"/>
      <c r="F87" s="508"/>
      <c r="M87" s="38"/>
      <c r="N87" s="38"/>
      <c r="O87" s="38"/>
    </row>
    <row r="88" spans="1:256" ht="16.5" customHeight="1">
      <c r="D88" s="230"/>
    </row>
    <row r="89" spans="1:256" ht="16.5" customHeight="1">
      <c r="A89" s="74" t="s">
        <v>165</v>
      </c>
      <c r="B89" s="77"/>
      <c r="C89" s="466" t="str">
        <f>Development!$A$2</f>
        <v>1.0</v>
      </c>
      <c r="D89" s="1041"/>
      <c r="E89" s="1041"/>
      <c r="F89" s="1041"/>
      <c r="G89" s="1042"/>
      <c r="H89" s="1042"/>
      <c r="I89" s="1042"/>
      <c r="J89" s="77"/>
      <c r="K89" s="78" t="s">
        <v>167</v>
      </c>
      <c r="L89" s="79" t="str">
        <f>Development!$A$4</f>
        <v>01.01.2025</v>
      </c>
    </row>
    <row r="90" spans="1:256" ht="16.5" hidden="1" customHeight="1"/>
    <row r="91" spans="1:256" ht="16.5" hidden="1" customHeight="1"/>
    <row r="96" spans="1:256" s="225" customFormat="1" ht="0" hidden="1" customHeight="1">
      <c r="B96" s="132"/>
      <c r="C96" s="132"/>
      <c r="D96" s="132"/>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32"/>
      <c r="AJ96" s="132"/>
      <c r="AK96" s="132"/>
      <c r="AL96" s="132"/>
      <c r="AM96" s="132"/>
      <c r="AN96" s="132"/>
      <c r="AO96" s="132"/>
      <c r="AP96" s="132"/>
      <c r="AQ96" s="132"/>
      <c r="AR96" s="132"/>
      <c r="AS96" s="132"/>
      <c r="AT96" s="132"/>
      <c r="AU96" s="132"/>
      <c r="AV96" s="132"/>
      <c r="AW96" s="132"/>
      <c r="AX96" s="132"/>
      <c r="AY96" s="132"/>
      <c r="AZ96" s="132"/>
      <c r="BA96" s="132"/>
      <c r="BB96" s="132"/>
      <c r="BC96" s="132"/>
      <c r="BD96" s="132"/>
      <c r="BE96" s="132"/>
      <c r="BF96" s="132"/>
      <c r="BG96" s="132"/>
      <c r="BH96" s="132"/>
      <c r="BI96" s="132"/>
      <c r="BJ96" s="132"/>
      <c r="BK96" s="132"/>
      <c r="BL96" s="132"/>
      <c r="BM96" s="132"/>
      <c r="BN96" s="132"/>
      <c r="BO96" s="132"/>
      <c r="BP96" s="132"/>
      <c r="BQ96" s="132"/>
      <c r="BR96" s="132"/>
      <c r="BS96" s="132"/>
      <c r="BT96" s="132"/>
      <c r="BU96" s="132"/>
      <c r="BV96" s="132"/>
      <c r="BW96" s="132"/>
      <c r="BX96" s="132"/>
      <c r="BY96" s="132"/>
      <c r="BZ96" s="132"/>
      <c r="CA96" s="132"/>
      <c r="CB96" s="132"/>
      <c r="CC96" s="132"/>
      <c r="CD96" s="132"/>
      <c r="CE96" s="132"/>
      <c r="CF96" s="132"/>
      <c r="CG96" s="132"/>
      <c r="CH96" s="132"/>
      <c r="CI96" s="132"/>
      <c r="CJ96" s="132"/>
      <c r="CK96" s="132"/>
      <c r="CL96" s="132"/>
      <c r="CM96" s="132"/>
      <c r="CN96" s="132"/>
      <c r="CO96" s="132"/>
      <c r="CP96" s="132"/>
      <c r="CQ96" s="132"/>
      <c r="CR96" s="132"/>
      <c r="CS96" s="132"/>
      <c r="CT96" s="132"/>
      <c r="CU96" s="132"/>
      <c r="CV96" s="132"/>
      <c r="CW96" s="132"/>
      <c r="CX96" s="132"/>
      <c r="CY96" s="132"/>
      <c r="CZ96" s="132"/>
      <c r="DA96" s="132"/>
      <c r="DB96" s="132"/>
      <c r="DC96" s="132"/>
      <c r="DD96" s="132"/>
      <c r="DE96" s="132"/>
      <c r="DF96" s="132"/>
      <c r="DG96" s="132"/>
      <c r="DH96" s="132"/>
      <c r="DI96" s="132"/>
      <c r="DJ96" s="132"/>
      <c r="DK96" s="132"/>
      <c r="DL96" s="132"/>
      <c r="DM96" s="132"/>
      <c r="DN96" s="132"/>
      <c r="DO96" s="132"/>
      <c r="DP96" s="132"/>
      <c r="DQ96" s="132"/>
      <c r="DR96" s="132"/>
      <c r="DS96" s="132"/>
      <c r="DT96" s="132"/>
      <c r="DU96" s="132"/>
      <c r="DV96" s="132"/>
      <c r="DW96" s="132"/>
      <c r="DX96" s="132"/>
      <c r="DY96" s="132"/>
      <c r="DZ96" s="132"/>
      <c r="EA96" s="132"/>
      <c r="EB96" s="132"/>
      <c r="EC96" s="132"/>
      <c r="ED96" s="132"/>
      <c r="EE96" s="132"/>
      <c r="EF96" s="132"/>
      <c r="EG96" s="132"/>
      <c r="EH96" s="132"/>
      <c r="EI96" s="132"/>
      <c r="EJ96" s="132"/>
      <c r="EK96" s="132"/>
      <c r="EL96" s="132"/>
      <c r="EM96" s="132"/>
      <c r="EN96" s="132"/>
      <c r="EO96" s="132"/>
      <c r="EP96" s="132"/>
      <c r="EQ96" s="132"/>
      <c r="ER96" s="132"/>
      <c r="ES96" s="132"/>
      <c r="ET96" s="132"/>
      <c r="EU96" s="132"/>
      <c r="EV96" s="132"/>
      <c r="EW96" s="132"/>
      <c r="EX96" s="132"/>
      <c r="EY96" s="132"/>
      <c r="EZ96" s="132"/>
      <c r="FA96" s="132"/>
      <c r="FB96" s="132"/>
      <c r="FC96" s="132"/>
      <c r="FD96" s="132"/>
      <c r="FE96" s="132"/>
      <c r="FF96" s="132"/>
      <c r="FG96" s="132"/>
      <c r="FH96" s="132"/>
      <c r="FI96" s="132"/>
      <c r="FJ96" s="132"/>
      <c r="FK96" s="132"/>
      <c r="FL96" s="132"/>
      <c r="FM96" s="132"/>
      <c r="FN96" s="132"/>
      <c r="FO96" s="132"/>
      <c r="FP96" s="132"/>
      <c r="FQ96" s="132"/>
      <c r="FR96" s="132"/>
      <c r="FS96" s="132"/>
      <c r="FT96" s="132"/>
      <c r="FU96" s="132"/>
      <c r="FV96" s="132"/>
      <c r="FW96" s="132"/>
      <c r="FX96" s="132"/>
      <c r="FY96" s="132"/>
      <c r="FZ96" s="132"/>
      <c r="GA96" s="132"/>
      <c r="GB96" s="132"/>
      <c r="GC96" s="132"/>
      <c r="GD96" s="132"/>
      <c r="GE96" s="132"/>
      <c r="GF96" s="132"/>
      <c r="GG96" s="132"/>
      <c r="GH96" s="132"/>
      <c r="GI96" s="132"/>
      <c r="GJ96" s="132"/>
      <c r="GK96" s="132"/>
      <c r="GL96" s="132"/>
      <c r="GM96" s="132"/>
      <c r="GN96" s="132"/>
      <c r="GO96" s="132"/>
      <c r="GP96" s="132"/>
      <c r="GQ96" s="132"/>
      <c r="GR96" s="132"/>
      <c r="GS96" s="132"/>
      <c r="GT96" s="132"/>
      <c r="GU96" s="132"/>
      <c r="GV96" s="132"/>
      <c r="GW96" s="132"/>
      <c r="GX96" s="132"/>
      <c r="GY96" s="132"/>
      <c r="GZ96" s="132"/>
      <c r="HA96" s="132"/>
      <c r="HB96" s="132"/>
      <c r="HC96" s="132"/>
      <c r="HD96" s="132"/>
      <c r="HE96" s="132"/>
      <c r="HF96" s="132"/>
      <c r="HG96" s="132"/>
      <c r="HH96" s="132"/>
      <c r="HI96" s="132"/>
      <c r="HJ96" s="132"/>
      <c r="HK96" s="132"/>
      <c r="HL96" s="132"/>
      <c r="HM96" s="132"/>
      <c r="HN96" s="132"/>
      <c r="HO96" s="132"/>
      <c r="HP96" s="132"/>
      <c r="HQ96" s="132"/>
      <c r="HR96" s="132"/>
      <c r="HS96" s="132"/>
      <c r="HT96" s="132"/>
      <c r="HU96" s="132"/>
      <c r="HV96" s="132"/>
      <c r="HW96" s="132"/>
      <c r="HX96" s="132"/>
      <c r="HY96" s="132"/>
      <c r="HZ96" s="132"/>
      <c r="IA96" s="132"/>
      <c r="IB96" s="132"/>
      <c r="IC96" s="132"/>
      <c r="ID96" s="132"/>
      <c r="IE96" s="132"/>
      <c r="IF96" s="132"/>
      <c r="IG96" s="132"/>
      <c r="IH96" s="132"/>
      <c r="II96" s="132"/>
      <c r="IJ96" s="132"/>
      <c r="IK96" s="132"/>
      <c r="IL96" s="132"/>
      <c r="IM96" s="132"/>
      <c r="IN96" s="132"/>
      <c r="IO96" s="132"/>
      <c r="IP96" s="132"/>
      <c r="IQ96" s="132"/>
      <c r="IR96" s="132"/>
      <c r="IS96" s="132"/>
      <c r="IT96" s="132"/>
      <c r="IU96" s="132"/>
      <c r="IV96" s="132"/>
    </row>
    <row r="97" spans="2:256" s="225" customFormat="1" ht="0" hidden="1" customHeight="1">
      <c r="B97" s="132"/>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32"/>
      <c r="AD97" s="132"/>
      <c r="AE97" s="132"/>
      <c r="AF97" s="132"/>
      <c r="AG97" s="132"/>
      <c r="AH97" s="132"/>
      <c r="AI97" s="132"/>
      <c r="AJ97" s="132"/>
      <c r="AK97" s="132"/>
      <c r="AL97" s="132"/>
      <c r="AM97" s="132"/>
      <c r="AN97" s="132"/>
      <c r="AO97" s="132"/>
      <c r="AP97" s="132"/>
      <c r="AQ97" s="132"/>
      <c r="AR97" s="132"/>
      <c r="AS97" s="132"/>
      <c r="AT97" s="132"/>
      <c r="AU97" s="132"/>
      <c r="AV97" s="132"/>
      <c r="AW97" s="132"/>
      <c r="AX97" s="132"/>
      <c r="AY97" s="132"/>
      <c r="AZ97" s="132"/>
      <c r="BA97" s="132"/>
      <c r="BB97" s="132"/>
      <c r="BC97" s="132"/>
      <c r="BD97" s="132"/>
      <c r="BE97" s="132"/>
      <c r="BF97" s="132"/>
      <c r="BG97" s="132"/>
      <c r="BH97" s="132"/>
      <c r="BI97" s="132"/>
      <c r="BJ97" s="132"/>
      <c r="BK97" s="132"/>
      <c r="BL97" s="132"/>
      <c r="BM97" s="132"/>
      <c r="BN97" s="132"/>
      <c r="BO97" s="132"/>
      <c r="BP97" s="132"/>
      <c r="BQ97" s="132"/>
      <c r="BR97" s="132"/>
      <c r="BS97" s="132"/>
      <c r="BT97" s="132"/>
      <c r="BU97" s="132"/>
      <c r="BV97" s="132"/>
      <c r="BW97" s="132"/>
      <c r="BX97" s="132"/>
      <c r="BY97" s="132"/>
      <c r="BZ97" s="132"/>
      <c r="CA97" s="132"/>
      <c r="CB97" s="132"/>
      <c r="CC97" s="132"/>
      <c r="CD97" s="132"/>
      <c r="CE97" s="132"/>
      <c r="CF97" s="132"/>
      <c r="CG97" s="132"/>
      <c r="CH97" s="132"/>
      <c r="CI97" s="132"/>
      <c r="CJ97" s="132"/>
      <c r="CK97" s="132"/>
      <c r="CL97" s="132"/>
      <c r="CM97" s="132"/>
      <c r="CN97" s="132"/>
      <c r="CO97" s="132"/>
      <c r="CP97" s="132"/>
      <c r="CQ97" s="132"/>
      <c r="CR97" s="132"/>
      <c r="CS97" s="132"/>
      <c r="CT97" s="132"/>
      <c r="CU97" s="132"/>
      <c r="CV97" s="132"/>
      <c r="CW97" s="132"/>
      <c r="CX97" s="132"/>
      <c r="CY97" s="132"/>
      <c r="CZ97" s="132"/>
      <c r="DA97" s="132"/>
      <c r="DB97" s="132"/>
      <c r="DC97" s="132"/>
      <c r="DD97" s="132"/>
      <c r="DE97" s="132"/>
      <c r="DF97" s="132"/>
      <c r="DG97" s="132"/>
      <c r="DH97" s="132"/>
      <c r="DI97" s="132"/>
      <c r="DJ97" s="132"/>
      <c r="DK97" s="132"/>
      <c r="DL97" s="132"/>
      <c r="DM97" s="132"/>
      <c r="DN97" s="132"/>
      <c r="DO97" s="132"/>
      <c r="DP97" s="132"/>
      <c r="DQ97" s="132"/>
      <c r="DR97" s="132"/>
      <c r="DS97" s="132"/>
      <c r="DT97" s="132"/>
      <c r="DU97" s="132"/>
      <c r="DV97" s="132"/>
      <c r="DW97" s="132"/>
      <c r="DX97" s="132"/>
      <c r="DY97" s="132"/>
      <c r="DZ97" s="132"/>
      <c r="EA97" s="132"/>
      <c r="EB97" s="132"/>
      <c r="EC97" s="132"/>
      <c r="ED97" s="132"/>
      <c r="EE97" s="132"/>
      <c r="EF97" s="132"/>
      <c r="EG97" s="132"/>
      <c r="EH97" s="132"/>
      <c r="EI97" s="132"/>
      <c r="EJ97" s="132"/>
      <c r="EK97" s="132"/>
      <c r="EL97" s="132"/>
      <c r="EM97" s="132"/>
      <c r="EN97" s="132"/>
      <c r="EO97" s="132"/>
      <c r="EP97" s="132"/>
      <c r="EQ97" s="132"/>
      <c r="ER97" s="132"/>
      <c r="ES97" s="132"/>
      <c r="ET97" s="132"/>
      <c r="EU97" s="132"/>
      <c r="EV97" s="132"/>
      <c r="EW97" s="132"/>
      <c r="EX97" s="132"/>
      <c r="EY97" s="132"/>
      <c r="EZ97" s="132"/>
      <c r="FA97" s="132"/>
      <c r="FB97" s="132"/>
      <c r="FC97" s="132"/>
      <c r="FD97" s="132"/>
      <c r="FE97" s="132"/>
      <c r="FF97" s="132"/>
      <c r="FG97" s="132"/>
      <c r="FH97" s="132"/>
      <c r="FI97" s="132"/>
      <c r="FJ97" s="132"/>
      <c r="FK97" s="132"/>
      <c r="FL97" s="132"/>
      <c r="FM97" s="132"/>
      <c r="FN97" s="132"/>
      <c r="FO97" s="132"/>
      <c r="FP97" s="132"/>
      <c r="FQ97" s="132"/>
      <c r="FR97" s="132"/>
      <c r="FS97" s="132"/>
      <c r="FT97" s="132"/>
      <c r="FU97" s="132"/>
      <c r="FV97" s="132"/>
      <c r="FW97" s="132"/>
      <c r="FX97" s="132"/>
      <c r="FY97" s="132"/>
      <c r="FZ97" s="132"/>
      <c r="GA97" s="132"/>
      <c r="GB97" s="132"/>
      <c r="GC97" s="132"/>
      <c r="GD97" s="132"/>
      <c r="GE97" s="132"/>
      <c r="GF97" s="132"/>
      <c r="GG97" s="132"/>
      <c r="GH97" s="132"/>
      <c r="GI97" s="132"/>
      <c r="GJ97" s="132"/>
      <c r="GK97" s="132"/>
      <c r="GL97" s="132"/>
      <c r="GM97" s="132"/>
      <c r="GN97" s="132"/>
      <c r="GO97" s="132"/>
      <c r="GP97" s="132"/>
      <c r="GQ97" s="132"/>
      <c r="GR97" s="132"/>
      <c r="GS97" s="132"/>
      <c r="GT97" s="132"/>
      <c r="GU97" s="132"/>
      <c r="GV97" s="132"/>
      <c r="GW97" s="132"/>
      <c r="GX97" s="132"/>
      <c r="GY97" s="132"/>
      <c r="GZ97" s="132"/>
      <c r="HA97" s="132"/>
      <c r="HB97" s="132"/>
      <c r="HC97" s="132"/>
      <c r="HD97" s="132"/>
      <c r="HE97" s="132"/>
      <c r="HF97" s="132"/>
      <c r="HG97" s="132"/>
      <c r="HH97" s="132"/>
      <c r="HI97" s="132"/>
      <c r="HJ97" s="132"/>
      <c r="HK97" s="132"/>
      <c r="HL97" s="132"/>
      <c r="HM97" s="132"/>
      <c r="HN97" s="132"/>
      <c r="HO97" s="132"/>
      <c r="HP97" s="132"/>
      <c r="HQ97" s="132"/>
      <c r="HR97" s="132"/>
      <c r="HS97" s="132"/>
      <c r="HT97" s="132"/>
      <c r="HU97" s="132"/>
      <c r="HV97" s="132"/>
      <c r="HW97" s="132"/>
      <c r="HX97" s="132"/>
      <c r="HY97" s="132"/>
      <c r="HZ97" s="132"/>
      <c r="IA97" s="132"/>
      <c r="IB97" s="132"/>
      <c r="IC97" s="132"/>
      <c r="ID97" s="132"/>
      <c r="IE97" s="132"/>
      <c r="IF97" s="132"/>
      <c r="IG97" s="132"/>
      <c r="IH97" s="132"/>
      <c r="II97" s="132"/>
      <c r="IJ97" s="132"/>
      <c r="IK97" s="132"/>
      <c r="IL97" s="132"/>
      <c r="IM97" s="132"/>
      <c r="IN97" s="132"/>
      <c r="IO97" s="132"/>
      <c r="IP97" s="132"/>
      <c r="IQ97" s="132"/>
      <c r="IR97" s="132"/>
      <c r="IS97" s="132"/>
      <c r="IT97" s="132"/>
      <c r="IU97" s="132"/>
      <c r="IV97" s="132"/>
    </row>
    <row r="98" spans="2:256" s="225" customFormat="1" ht="0" hidden="1" customHeight="1">
      <c r="B98" s="132"/>
      <c r="C98" s="132"/>
      <c r="D98" s="132"/>
      <c r="E98" s="132"/>
      <c r="F98" s="132"/>
      <c r="G98" s="132"/>
      <c r="H98" s="132"/>
      <c r="I98" s="132"/>
      <c r="J98" s="132"/>
      <c r="K98" s="132"/>
      <c r="L98" s="132"/>
      <c r="M98" s="132"/>
      <c r="N98" s="132"/>
      <c r="O98" s="132"/>
      <c r="P98" s="132"/>
      <c r="Q98" s="132"/>
      <c r="R98" s="132"/>
      <c r="S98" s="132"/>
      <c r="T98" s="132"/>
      <c r="U98" s="132"/>
      <c r="V98" s="132"/>
      <c r="W98" s="132"/>
      <c r="X98" s="132"/>
      <c r="Y98" s="132"/>
      <c r="Z98" s="132"/>
      <c r="AA98" s="132"/>
      <c r="AB98" s="132"/>
      <c r="AC98" s="132"/>
      <c r="AD98" s="132"/>
      <c r="AE98" s="132"/>
      <c r="AF98" s="132"/>
      <c r="AG98" s="132"/>
      <c r="AH98" s="132"/>
      <c r="AI98" s="132"/>
      <c r="AJ98" s="132"/>
      <c r="AK98" s="132"/>
      <c r="AL98" s="132"/>
      <c r="AM98" s="132"/>
      <c r="AN98" s="132"/>
      <c r="AO98" s="132"/>
      <c r="AP98" s="132"/>
      <c r="AQ98" s="132"/>
      <c r="AR98" s="132"/>
      <c r="AS98" s="132"/>
      <c r="AT98" s="132"/>
      <c r="AU98" s="132"/>
      <c r="AV98" s="132"/>
      <c r="AW98" s="132"/>
      <c r="AX98" s="132"/>
      <c r="AY98" s="132"/>
      <c r="AZ98" s="132"/>
      <c r="BA98" s="132"/>
      <c r="BB98" s="132"/>
      <c r="BC98" s="132"/>
      <c r="BD98" s="132"/>
      <c r="BE98" s="132"/>
      <c r="BF98" s="132"/>
      <c r="BG98" s="132"/>
      <c r="BH98" s="132"/>
      <c r="BI98" s="132"/>
      <c r="BJ98" s="132"/>
      <c r="BK98" s="132"/>
      <c r="BL98" s="132"/>
      <c r="BM98" s="132"/>
      <c r="BN98" s="132"/>
      <c r="BO98" s="132"/>
      <c r="BP98" s="132"/>
      <c r="BQ98" s="132"/>
      <c r="BR98" s="132"/>
      <c r="BS98" s="132"/>
      <c r="BT98" s="132"/>
      <c r="BU98" s="132"/>
      <c r="BV98" s="132"/>
      <c r="BW98" s="132"/>
      <c r="BX98" s="132"/>
      <c r="BY98" s="132"/>
      <c r="BZ98" s="132"/>
      <c r="CA98" s="132"/>
      <c r="CB98" s="132"/>
      <c r="CC98" s="132"/>
      <c r="CD98" s="132"/>
      <c r="CE98" s="132"/>
      <c r="CF98" s="132"/>
      <c r="CG98" s="132"/>
      <c r="CH98" s="132"/>
      <c r="CI98" s="132"/>
      <c r="CJ98" s="132"/>
      <c r="CK98" s="132"/>
      <c r="CL98" s="132"/>
      <c r="CM98" s="132"/>
      <c r="CN98" s="132"/>
      <c r="CO98" s="132"/>
      <c r="CP98" s="132"/>
      <c r="CQ98" s="132"/>
      <c r="CR98" s="132"/>
      <c r="CS98" s="132"/>
      <c r="CT98" s="132"/>
      <c r="CU98" s="132"/>
      <c r="CV98" s="132"/>
      <c r="CW98" s="132"/>
      <c r="CX98" s="132"/>
      <c r="CY98" s="132"/>
      <c r="CZ98" s="132"/>
      <c r="DA98" s="132"/>
      <c r="DB98" s="132"/>
      <c r="DC98" s="132"/>
      <c r="DD98" s="132"/>
      <c r="DE98" s="132"/>
      <c r="DF98" s="132"/>
      <c r="DG98" s="132"/>
      <c r="DH98" s="132"/>
      <c r="DI98" s="132"/>
      <c r="DJ98" s="132"/>
      <c r="DK98" s="132"/>
      <c r="DL98" s="132"/>
      <c r="DM98" s="132"/>
      <c r="DN98" s="132"/>
      <c r="DO98" s="132"/>
      <c r="DP98" s="132"/>
      <c r="DQ98" s="132"/>
      <c r="DR98" s="132"/>
      <c r="DS98" s="132"/>
      <c r="DT98" s="132"/>
      <c r="DU98" s="132"/>
      <c r="DV98" s="132"/>
      <c r="DW98" s="132"/>
      <c r="DX98" s="132"/>
      <c r="DY98" s="132"/>
      <c r="DZ98" s="132"/>
      <c r="EA98" s="132"/>
      <c r="EB98" s="132"/>
      <c r="EC98" s="132"/>
      <c r="ED98" s="132"/>
      <c r="EE98" s="132"/>
      <c r="EF98" s="132"/>
      <c r="EG98" s="132"/>
      <c r="EH98" s="132"/>
      <c r="EI98" s="132"/>
      <c r="EJ98" s="132"/>
      <c r="EK98" s="132"/>
      <c r="EL98" s="132"/>
      <c r="EM98" s="132"/>
      <c r="EN98" s="132"/>
      <c r="EO98" s="132"/>
      <c r="EP98" s="132"/>
      <c r="EQ98" s="132"/>
      <c r="ER98" s="132"/>
      <c r="ES98" s="132"/>
      <c r="ET98" s="132"/>
      <c r="EU98" s="132"/>
      <c r="EV98" s="132"/>
      <c r="EW98" s="132"/>
      <c r="EX98" s="132"/>
      <c r="EY98" s="132"/>
      <c r="EZ98" s="132"/>
      <c r="FA98" s="132"/>
      <c r="FB98" s="132"/>
      <c r="FC98" s="132"/>
      <c r="FD98" s="132"/>
      <c r="FE98" s="132"/>
      <c r="FF98" s="132"/>
      <c r="FG98" s="132"/>
      <c r="FH98" s="132"/>
      <c r="FI98" s="132"/>
      <c r="FJ98" s="132"/>
      <c r="FK98" s="132"/>
      <c r="FL98" s="132"/>
      <c r="FM98" s="132"/>
      <c r="FN98" s="132"/>
      <c r="FO98" s="132"/>
      <c r="FP98" s="132"/>
      <c r="FQ98" s="132"/>
      <c r="FR98" s="132"/>
      <c r="FS98" s="132"/>
      <c r="FT98" s="132"/>
      <c r="FU98" s="132"/>
      <c r="FV98" s="132"/>
      <c r="FW98" s="132"/>
      <c r="FX98" s="132"/>
      <c r="FY98" s="132"/>
      <c r="FZ98" s="132"/>
      <c r="GA98" s="132"/>
      <c r="GB98" s="132"/>
      <c r="GC98" s="132"/>
      <c r="GD98" s="132"/>
      <c r="GE98" s="132"/>
      <c r="GF98" s="132"/>
      <c r="GG98" s="132"/>
      <c r="GH98" s="132"/>
      <c r="GI98" s="132"/>
      <c r="GJ98" s="132"/>
      <c r="GK98" s="132"/>
      <c r="GL98" s="132"/>
      <c r="GM98" s="132"/>
      <c r="GN98" s="132"/>
      <c r="GO98" s="132"/>
      <c r="GP98" s="132"/>
      <c r="GQ98" s="132"/>
      <c r="GR98" s="132"/>
      <c r="GS98" s="132"/>
      <c r="GT98" s="132"/>
      <c r="GU98" s="132"/>
      <c r="GV98" s="132"/>
      <c r="GW98" s="132"/>
      <c r="GX98" s="132"/>
      <c r="GY98" s="132"/>
      <c r="GZ98" s="132"/>
      <c r="HA98" s="132"/>
      <c r="HB98" s="132"/>
      <c r="HC98" s="132"/>
      <c r="HD98" s="132"/>
      <c r="HE98" s="132"/>
      <c r="HF98" s="132"/>
      <c r="HG98" s="132"/>
      <c r="HH98" s="132"/>
      <c r="HI98" s="132"/>
      <c r="HJ98" s="132"/>
      <c r="HK98" s="132"/>
      <c r="HL98" s="132"/>
      <c r="HM98" s="132"/>
      <c r="HN98" s="132"/>
      <c r="HO98" s="132"/>
      <c r="HP98" s="132"/>
      <c r="HQ98" s="132"/>
      <c r="HR98" s="132"/>
      <c r="HS98" s="132"/>
      <c r="HT98" s="132"/>
      <c r="HU98" s="132"/>
      <c r="HV98" s="132"/>
      <c r="HW98" s="132"/>
      <c r="HX98" s="132"/>
      <c r="HY98" s="132"/>
      <c r="HZ98" s="132"/>
      <c r="IA98" s="132"/>
      <c r="IB98" s="132"/>
      <c r="IC98" s="132"/>
      <c r="ID98" s="132"/>
      <c r="IE98" s="132"/>
      <c r="IF98" s="132"/>
      <c r="IG98" s="132"/>
      <c r="IH98" s="132"/>
      <c r="II98" s="132"/>
      <c r="IJ98" s="132"/>
      <c r="IK98" s="132"/>
      <c r="IL98" s="132"/>
      <c r="IM98" s="132"/>
      <c r="IN98" s="132"/>
      <c r="IO98" s="132"/>
      <c r="IP98" s="132"/>
      <c r="IQ98" s="132"/>
      <c r="IR98" s="132"/>
      <c r="IS98" s="132"/>
      <c r="IT98" s="132"/>
      <c r="IU98" s="132"/>
      <c r="IV98" s="132"/>
    </row>
    <row r="99" spans="2:256" s="225" customFormat="1" ht="0" hidden="1" customHeight="1">
      <c r="B99" s="132"/>
      <c r="C99" s="132"/>
      <c r="D99" s="132"/>
      <c r="E99" s="132"/>
      <c r="F99" s="132"/>
      <c r="G99" s="132"/>
      <c r="H99" s="132"/>
      <c r="I99" s="132"/>
      <c r="J99" s="132"/>
      <c r="K99" s="132"/>
      <c r="L99" s="132"/>
      <c r="M99" s="132"/>
      <c r="N99" s="132"/>
      <c r="O99" s="132"/>
      <c r="P99" s="132"/>
      <c r="Q99" s="132"/>
      <c r="R99" s="132"/>
      <c r="S99" s="132"/>
      <c r="T99" s="132"/>
      <c r="U99" s="132"/>
      <c r="V99" s="132"/>
      <c r="W99" s="132"/>
      <c r="X99" s="132"/>
      <c r="Y99" s="132"/>
      <c r="Z99" s="132"/>
      <c r="AA99" s="132"/>
      <c r="AB99" s="132"/>
      <c r="AC99" s="132"/>
      <c r="AD99" s="132"/>
      <c r="AE99" s="132"/>
      <c r="AF99" s="132"/>
      <c r="AG99" s="132"/>
      <c r="AH99" s="132"/>
      <c r="AI99" s="132"/>
      <c r="AJ99" s="132"/>
      <c r="AK99" s="132"/>
      <c r="AL99" s="132"/>
      <c r="AM99" s="132"/>
      <c r="AN99" s="132"/>
      <c r="AO99" s="132"/>
      <c r="AP99" s="132"/>
      <c r="AQ99" s="132"/>
      <c r="AR99" s="132"/>
      <c r="AS99" s="132"/>
      <c r="AT99" s="132"/>
      <c r="AU99" s="132"/>
      <c r="AV99" s="132"/>
      <c r="AW99" s="132"/>
      <c r="AX99" s="132"/>
      <c r="AY99" s="132"/>
      <c r="AZ99" s="132"/>
      <c r="BA99" s="132"/>
      <c r="BB99" s="132"/>
      <c r="BC99" s="132"/>
      <c r="BD99" s="132"/>
      <c r="BE99" s="132"/>
      <c r="BF99" s="132"/>
      <c r="BG99" s="132"/>
      <c r="BH99" s="132"/>
      <c r="BI99" s="132"/>
      <c r="BJ99" s="132"/>
      <c r="BK99" s="132"/>
      <c r="BL99" s="132"/>
      <c r="BM99" s="132"/>
      <c r="BN99" s="132"/>
      <c r="BO99" s="132"/>
      <c r="BP99" s="132"/>
      <c r="BQ99" s="132"/>
      <c r="BR99" s="132"/>
      <c r="BS99" s="132"/>
      <c r="BT99" s="132"/>
      <c r="BU99" s="132"/>
      <c r="BV99" s="132"/>
      <c r="BW99" s="132"/>
      <c r="BX99" s="132"/>
      <c r="BY99" s="132"/>
      <c r="BZ99" s="132"/>
      <c r="CA99" s="132"/>
      <c r="CB99" s="132"/>
      <c r="CC99" s="132"/>
      <c r="CD99" s="132"/>
      <c r="CE99" s="132"/>
      <c r="CF99" s="132"/>
      <c r="CG99" s="132"/>
      <c r="CH99" s="132"/>
      <c r="CI99" s="132"/>
      <c r="CJ99" s="132"/>
      <c r="CK99" s="132"/>
      <c r="CL99" s="132"/>
      <c r="CM99" s="132"/>
      <c r="CN99" s="132"/>
      <c r="CO99" s="132"/>
      <c r="CP99" s="132"/>
      <c r="CQ99" s="132"/>
      <c r="CR99" s="132"/>
      <c r="CS99" s="132"/>
      <c r="CT99" s="132"/>
      <c r="CU99" s="132"/>
      <c r="CV99" s="132"/>
      <c r="CW99" s="132"/>
      <c r="CX99" s="132"/>
      <c r="CY99" s="132"/>
      <c r="CZ99" s="132"/>
      <c r="DA99" s="132"/>
      <c r="DB99" s="132"/>
      <c r="DC99" s="132"/>
      <c r="DD99" s="132"/>
      <c r="DE99" s="132"/>
      <c r="DF99" s="132"/>
      <c r="DG99" s="132"/>
      <c r="DH99" s="132"/>
      <c r="DI99" s="132"/>
      <c r="DJ99" s="132"/>
      <c r="DK99" s="132"/>
      <c r="DL99" s="132"/>
      <c r="DM99" s="132"/>
      <c r="DN99" s="132"/>
      <c r="DO99" s="132"/>
      <c r="DP99" s="132"/>
      <c r="DQ99" s="132"/>
      <c r="DR99" s="132"/>
      <c r="DS99" s="132"/>
      <c r="DT99" s="132"/>
      <c r="DU99" s="132"/>
      <c r="DV99" s="132"/>
      <c r="DW99" s="132"/>
      <c r="DX99" s="132"/>
      <c r="DY99" s="132"/>
      <c r="DZ99" s="132"/>
      <c r="EA99" s="132"/>
      <c r="EB99" s="132"/>
      <c r="EC99" s="132"/>
      <c r="ED99" s="132"/>
      <c r="EE99" s="132"/>
      <c r="EF99" s="132"/>
      <c r="EG99" s="132"/>
      <c r="EH99" s="132"/>
      <c r="EI99" s="132"/>
      <c r="EJ99" s="132"/>
      <c r="EK99" s="132"/>
      <c r="EL99" s="132"/>
      <c r="EM99" s="132"/>
      <c r="EN99" s="132"/>
      <c r="EO99" s="132"/>
      <c r="EP99" s="132"/>
      <c r="EQ99" s="132"/>
      <c r="ER99" s="132"/>
      <c r="ES99" s="132"/>
      <c r="ET99" s="132"/>
      <c r="EU99" s="132"/>
      <c r="EV99" s="132"/>
      <c r="EW99" s="132"/>
      <c r="EX99" s="132"/>
      <c r="EY99" s="132"/>
      <c r="EZ99" s="132"/>
      <c r="FA99" s="132"/>
      <c r="FB99" s="132"/>
      <c r="FC99" s="132"/>
      <c r="FD99" s="132"/>
      <c r="FE99" s="132"/>
      <c r="FF99" s="132"/>
      <c r="FG99" s="132"/>
      <c r="FH99" s="132"/>
      <c r="FI99" s="132"/>
      <c r="FJ99" s="132"/>
      <c r="FK99" s="132"/>
      <c r="FL99" s="132"/>
      <c r="FM99" s="132"/>
      <c r="FN99" s="132"/>
      <c r="FO99" s="132"/>
      <c r="FP99" s="132"/>
      <c r="FQ99" s="132"/>
      <c r="FR99" s="132"/>
      <c r="FS99" s="132"/>
      <c r="FT99" s="132"/>
      <c r="FU99" s="132"/>
      <c r="FV99" s="132"/>
      <c r="FW99" s="132"/>
      <c r="FX99" s="132"/>
      <c r="FY99" s="132"/>
      <c r="FZ99" s="132"/>
      <c r="GA99" s="132"/>
      <c r="GB99" s="132"/>
      <c r="GC99" s="132"/>
      <c r="GD99" s="132"/>
      <c r="GE99" s="132"/>
      <c r="GF99" s="132"/>
      <c r="GG99" s="132"/>
      <c r="GH99" s="132"/>
      <c r="GI99" s="132"/>
      <c r="GJ99" s="132"/>
      <c r="GK99" s="132"/>
      <c r="GL99" s="132"/>
      <c r="GM99" s="132"/>
      <c r="GN99" s="132"/>
      <c r="GO99" s="132"/>
      <c r="GP99" s="132"/>
      <c r="GQ99" s="132"/>
      <c r="GR99" s="132"/>
      <c r="GS99" s="132"/>
      <c r="GT99" s="132"/>
      <c r="GU99" s="132"/>
      <c r="GV99" s="132"/>
      <c r="GW99" s="132"/>
      <c r="GX99" s="132"/>
      <c r="GY99" s="132"/>
      <c r="GZ99" s="132"/>
      <c r="HA99" s="132"/>
      <c r="HB99" s="132"/>
      <c r="HC99" s="132"/>
      <c r="HD99" s="132"/>
      <c r="HE99" s="132"/>
      <c r="HF99" s="132"/>
      <c r="HG99" s="132"/>
      <c r="HH99" s="132"/>
      <c r="HI99" s="132"/>
      <c r="HJ99" s="132"/>
      <c r="HK99" s="132"/>
      <c r="HL99" s="132"/>
      <c r="HM99" s="132"/>
      <c r="HN99" s="132"/>
      <c r="HO99" s="132"/>
      <c r="HP99" s="132"/>
      <c r="HQ99" s="132"/>
      <c r="HR99" s="132"/>
      <c r="HS99" s="132"/>
      <c r="HT99" s="132"/>
      <c r="HU99" s="132"/>
      <c r="HV99" s="132"/>
      <c r="HW99" s="132"/>
      <c r="HX99" s="132"/>
      <c r="HY99" s="132"/>
      <c r="HZ99" s="132"/>
      <c r="IA99" s="132"/>
      <c r="IB99" s="132"/>
      <c r="IC99" s="132"/>
      <c r="ID99" s="132"/>
      <c r="IE99" s="132"/>
      <c r="IF99" s="132"/>
      <c r="IG99" s="132"/>
      <c r="IH99" s="132"/>
      <c r="II99" s="132"/>
      <c r="IJ99" s="132"/>
      <c r="IK99" s="132"/>
      <c r="IL99" s="132"/>
      <c r="IM99" s="132"/>
      <c r="IN99" s="132"/>
      <c r="IO99" s="132"/>
      <c r="IP99" s="132"/>
      <c r="IQ99" s="132"/>
      <c r="IR99" s="132"/>
      <c r="IS99" s="132"/>
      <c r="IT99" s="132"/>
      <c r="IU99" s="132"/>
      <c r="IV99" s="132"/>
    </row>
    <row r="100" spans="2:256" s="225" customFormat="1" ht="0" hidden="1" customHeight="1">
      <c r="B100" s="132"/>
      <c r="C100" s="132"/>
      <c r="D100" s="132"/>
      <c r="E100" s="132"/>
      <c r="F100" s="132"/>
      <c r="G100" s="132"/>
      <c r="H100" s="132"/>
      <c r="I100" s="132"/>
      <c r="J100" s="132"/>
      <c r="K100" s="132"/>
      <c r="L100" s="132"/>
      <c r="M100" s="132"/>
      <c r="N100" s="132"/>
      <c r="O100" s="132"/>
      <c r="P100" s="132"/>
      <c r="Q100" s="132"/>
      <c r="R100" s="132"/>
      <c r="S100" s="132"/>
      <c r="T100" s="132"/>
      <c r="U100" s="132"/>
      <c r="V100" s="132"/>
      <c r="W100" s="132"/>
      <c r="X100" s="132"/>
      <c r="Y100" s="132"/>
      <c r="Z100" s="132"/>
      <c r="AA100" s="132"/>
      <c r="AB100" s="132"/>
      <c r="AC100" s="132"/>
      <c r="AD100" s="132"/>
      <c r="AE100" s="132"/>
      <c r="AF100" s="132"/>
      <c r="AG100" s="132"/>
      <c r="AH100" s="132"/>
      <c r="AI100" s="132"/>
      <c r="AJ100" s="132"/>
      <c r="AK100" s="132"/>
      <c r="AL100" s="132"/>
      <c r="AM100" s="132"/>
      <c r="AN100" s="132"/>
      <c r="AO100" s="132"/>
      <c r="AP100" s="132"/>
      <c r="AQ100" s="132"/>
      <c r="AR100" s="132"/>
      <c r="AS100" s="132"/>
      <c r="AT100" s="132"/>
      <c r="AU100" s="132"/>
      <c r="AV100" s="132"/>
      <c r="AW100" s="132"/>
      <c r="AX100" s="132"/>
      <c r="AY100" s="132"/>
      <c r="AZ100" s="132"/>
      <c r="BA100" s="132"/>
      <c r="BB100" s="132"/>
      <c r="BC100" s="132"/>
      <c r="BD100" s="132"/>
      <c r="BE100" s="132"/>
      <c r="BF100" s="132"/>
      <c r="BG100" s="132"/>
      <c r="BH100" s="132"/>
      <c r="BI100" s="132"/>
      <c r="BJ100" s="132"/>
      <c r="BK100" s="132"/>
      <c r="BL100" s="132"/>
      <c r="BM100" s="132"/>
      <c r="BN100" s="132"/>
      <c r="BO100" s="132"/>
      <c r="BP100" s="132"/>
      <c r="BQ100" s="132"/>
      <c r="BR100" s="132"/>
      <c r="BS100" s="132"/>
      <c r="BT100" s="132"/>
      <c r="BU100" s="132"/>
      <c r="BV100" s="132"/>
      <c r="BW100" s="132"/>
      <c r="BX100" s="132"/>
      <c r="BY100" s="132"/>
      <c r="BZ100" s="132"/>
      <c r="CA100" s="132"/>
      <c r="CB100" s="132"/>
      <c r="CC100" s="132"/>
      <c r="CD100" s="132"/>
      <c r="CE100" s="132"/>
      <c r="CF100" s="132"/>
      <c r="CG100" s="132"/>
      <c r="CH100" s="132"/>
      <c r="CI100" s="132"/>
      <c r="CJ100" s="132"/>
      <c r="CK100" s="132"/>
      <c r="CL100" s="132"/>
      <c r="CM100" s="132"/>
      <c r="CN100" s="132"/>
      <c r="CO100" s="132"/>
      <c r="CP100" s="132"/>
      <c r="CQ100" s="132"/>
      <c r="CR100" s="132"/>
      <c r="CS100" s="132"/>
      <c r="CT100" s="132"/>
      <c r="CU100" s="132"/>
      <c r="CV100" s="132"/>
      <c r="CW100" s="132"/>
      <c r="CX100" s="132"/>
      <c r="CY100" s="132"/>
      <c r="CZ100" s="132"/>
      <c r="DA100" s="132"/>
      <c r="DB100" s="132"/>
      <c r="DC100" s="132"/>
      <c r="DD100" s="132"/>
      <c r="DE100" s="132"/>
      <c r="DF100" s="132"/>
      <c r="DG100" s="132"/>
      <c r="DH100" s="132"/>
      <c r="DI100" s="132"/>
      <c r="DJ100" s="132"/>
      <c r="DK100" s="132"/>
      <c r="DL100" s="132"/>
      <c r="DM100" s="132"/>
      <c r="DN100" s="132"/>
      <c r="DO100" s="132"/>
      <c r="DP100" s="132"/>
      <c r="DQ100" s="132"/>
      <c r="DR100" s="132"/>
      <c r="DS100" s="132"/>
      <c r="DT100" s="132"/>
      <c r="DU100" s="132"/>
      <c r="DV100" s="132"/>
      <c r="DW100" s="132"/>
      <c r="DX100" s="132"/>
      <c r="DY100" s="132"/>
      <c r="DZ100" s="132"/>
      <c r="EA100" s="132"/>
      <c r="EB100" s="132"/>
      <c r="EC100" s="132"/>
      <c r="ED100" s="132"/>
      <c r="EE100" s="132"/>
      <c r="EF100" s="132"/>
      <c r="EG100" s="132"/>
      <c r="EH100" s="132"/>
      <c r="EI100" s="132"/>
      <c r="EJ100" s="132"/>
      <c r="EK100" s="132"/>
      <c r="EL100" s="132"/>
      <c r="EM100" s="132"/>
      <c r="EN100" s="132"/>
      <c r="EO100" s="132"/>
      <c r="EP100" s="132"/>
      <c r="EQ100" s="132"/>
      <c r="ER100" s="132"/>
      <c r="ES100" s="132"/>
      <c r="ET100" s="132"/>
      <c r="EU100" s="132"/>
      <c r="EV100" s="132"/>
      <c r="EW100" s="132"/>
      <c r="EX100" s="132"/>
      <c r="EY100" s="132"/>
      <c r="EZ100" s="132"/>
      <c r="FA100" s="132"/>
      <c r="FB100" s="132"/>
      <c r="FC100" s="132"/>
      <c r="FD100" s="132"/>
      <c r="FE100" s="132"/>
      <c r="FF100" s="132"/>
      <c r="FG100" s="132"/>
      <c r="FH100" s="132"/>
      <c r="FI100" s="132"/>
      <c r="FJ100" s="132"/>
      <c r="FK100" s="132"/>
      <c r="FL100" s="132"/>
      <c r="FM100" s="132"/>
      <c r="FN100" s="132"/>
      <c r="FO100" s="132"/>
      <c r="FP100" s="132"/>
      <c r="FQ100" s="132"/>
      <c r="FR100" s="132"/>
      <c r="FS100" s="132"/>
      <c r="FT100" s="132"/>
      <c r="FU100" s="132"/>
      <c r="FV100" s="132"/>
      <c r="FW100" s="132"/>
      <c r="FX100" s="132"/>
      <c r="FY100" s="132"/>
      <c r="FZ100" s="132"/>
      <c r="GA100" s="132"/>
      <c r="GB100" s="132"/>
      <c r="GC100" s="132"/>
      <c r="GD100" s="132"/>
      <c r="GE100" s="132"/>
      <c r="GF100" s="132"/>
      <c r="GG100" s="132"/>
      <c r="GH100" s="132"/>
      <c r="GI100" s="132"/>
      <c r="GJ100" s="132"/>
      <c r="GK100" s="132"/>
      <c r="GL100" s="132"/>
      <c r="GM100" s="132"/>
      <c r="GN100" s="132"/>
      <c r="GO100" s="132"/>
      <c r="GP100" s="132"/>
      <c r="GQ100" s="132"/>
      <c r="GR100" s="132"/>
      <c r="GS100" s="132"/>
      <c r="GT100" s="132"/>
      <c r="GU100" s="132"/>
      <c r="GV100" s="132"/>
      <c r="GW100" s="132"/>
      <c r="GX100" s="132"/>
      <c r="GY100" s="132"/>
      <c r="GZ100" s="132"/>
      <c r="HA100" s="132"/>
      <c r="HB100" s="132"/>
      <c r="HC100" s="132"/>
      <c r="HD100" s="132"/>
      <c r="HE100" s="132"/>
      <c r="HF100" s="132"/>
      <c r="HG100" s="132"/>
      <c r="HH100" s="132"/>
      <c r="HI100" s="132"/>
      <c r="HJ100" s="132"/>
      <c r="HK100" s="132"/>
      <c r="HL100" s="132"/>
      <c r="HM100" s="132"/>
      <c r="HN100" s="132"/>
      <c r="HO100" s="132"/>
      <c r="HP100" s="132"/>
      <c r="HQ100" s="132"/>
      <c r="HR100" s="132"/>
      <c r="HS100" s="132"/>
      <c r="HT100" s="132"/>
      <c r="HU100" s="132"/>
      <c r="HV100" s="132"/>
      <c r="HW100" s="132"/>
      <c r="HX100" s="132"/>
      <c r="HY100" s="132"/>
      <c r="HZ100" s="132"/>
      <c r="IA100" s="132"/>
      <c r="IB100" s="132"/>
      <c r="IC100" s="132"/>
      <c r="ID100" s="132"/>
      <c r="IE100" s="132"/>
      <c r="IF100" s="132"/>
      <c r="IG100" s="132"/>
      <c r="IH100" s="132"/>
      <c r="II100" s="132"/>
      <c r="IJ100" s="132"/>
      <c r="IK100" s="132"/>
      <c r="IL100" s="132"/>
      <c r="IM100" s="132"/>
      <c r="IN100" s="132"/>
      <c r="IO100" s="132"/>
      <c r="IP100" s="132"/>
      <c r="IQ100" s="132"/>
      <c r="IR100" s="132"/>
      <c r="IS100" s="132"/>
      <c r="IT100" s="132"/>
      <c r="IU100" s="132"/>
      <c r="IV100" s="132"/>
    </row>
    <row r="101" spans="2:256" s="225" customFormat="1" ht="0" hidden="1" customHeight="1">
      <c r="B101" s="132"/>
      <c r="C101" s="132"/>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c r="AA101" s="132"/>
      <c r="AB101" s="132"/>
      <c r="AC101" s="132"/>
      <c r="AD101" s="132"/>
      <c r="AE101" s="132"/>
      <c r="AF101" s="132"/>
      <c r="AG101" s="132"/>
      <c r="AH101" s="132"/>
      <c r="AI101" s="132"/>
      <c r="AJ101" s="132"/>
      <c r="AK101" s="132"/>
      <c r="AL101" s="132"/>
      <c r="AM101" s="132"/>
      <c r="AN101" s="132"/>
      <c r="AO101" s="132"/>
      <c r="AP101" s="132"/>
      <c r="AQ101" s="132"/>
      <c r="AR101" s="132"/>
      <c r="AS101" s="132"/>
      <c r="AT101" s="132"/>
      <c r="AU101" s="132"/>
      <c r="AV101" s="132"/>
      <c r="AW101" s="132"/>
      <c r="AX101" s="132"/>
      <c r="AY101" s="132"/>
      <c r="AZ101" s="132"/>
      <c r="BA101" s="132"/>
      <c r="BB101" s="132"/>
      <c r="BC101" s="132"/>
      <c r="BD101" s="132"/>
      <c r="BE101" s="132"/>
      <c r="BF101" s="132"/>
      <c r="BG101" s="132"/>
      <c r="BH101" s="132"/>
      <c r="BI101" s="132"/>
      <c r="BJ101" s="132"/>
      <c r="BK101" s="132"/>
      <c r="BL101" s="132"/>
      <c r="BM101" s="132"/>
      <c r="BN101" s="132"/>
      <c r="BO101" s="132"/>
      <c r="BP101" s="132"/>
      <c r="BQ101" s="132"/>
      <c r="BR101" s="132"/>
      <c r="BS101" s="132"/>
      <c r="BT101" s="132"/>
      <c r="BU101" s="132"/>
      <c r="BV101" s="132"/>
      <c r="BW101" s="132"/>
      <c r="BX101" s="132"/>
      <c r="BY101" s="132"/>
      <c r="BZ101" s="132"/>
      <c r="CA101" s="132"/>
      <c r="CB101" s="132"/>
      <c r="CC101" s="132"/>
      <c r="CD101" s="132"/>
      <c r="CE101" s="132"/>
      <c r="CF101" s="132"/>
      <c r="CG101" s="132"/>
      <c r="CH101" s="132"/>
      <c r="CI101" s="132"/>
      <c r="CJ101" s="132"/>
      <c r="CK101" s="132"/>
      <c r="CL101" s="132"/>
      <c r="CM101" s="132"/>
      <c r="CN101" s="132"/>
      <c r="CO101" s="132"/>
      <c r="CP101" s="132"/>
      <c r="CQ101" s="132"/>
      <c r="CR101" s="132"/>
      <c r="CS101" s="132"/>
      <c r="CT101" s="132"/>
      <c r="CU101" s="132"/>
      <c r="CV101" s="132"/>
      <c r="CW101" s="132"/>
      <c r="CX101" s="132"/>
      <c r="CY101" s="132"/>
      <c r="CZ101" s="132"/>
      <c r="DA101" s="132"/>
      <c r="DB101" s="132"/>
      <c r="DC101" s="132"/>
      <c r="DD101" s="132"/>
      <c r="DE101" s="132"/>
      <c r="DF101" s="132"/>
      <c r="DG101" s="132"/>
      <c r="DH101" s="132"/>
      <c r="DI101" s="132"/>
      <c r="DJ101" s="132"/>
      <c r="DK101" s="132"/>
      <c r="DL101" s="132"/>
      <c r="DM101" s="132"/>
      <c r="DN101" s="132"/>
      <c r="DO101" s="132"/>
      <c r="DP101" s="132"/>
      <c r="DQ101" s="132"/>
      <c r="DR101" s="132"/>
      <c r="DS101" s="132"/>
      <c r="DT101" s="132"/>
      <c r="DU101" s="132"/>
      <c r="DV101" s="132"/>
      <c r="DW101" s="132"/>
      <c r="DX101" s="132"/>
      <c r="DY101" s="132"/>
      <c r="DZ101" s="132"/>
      <c r="EA101" s="132"/>
      <c r="EB101" s="132"/>
      <c r="EC101" s="132"/>
      <c r="ED101" s="132"/>
      <c r="EE101" s="132"/>
      <c r="EF101" s="132"/>
      <c r="EG101" s="132"/>
      <c r="EH101" s="132"/>
      <c r="EI101" s="132"/>
      <c r="EJ101" s="132"/>
      <c r="EK101" s="132"/>
      <c r="EL101" s="132"/>
      <c r="EM101" s="132"/>
      <c r="EN101" s="132"/>
      <c r="EO101" s="132"/>
      <c r="EP101" s="132"/>
      <c r="EQ101" s="132"/>
      <c r="ER101" s="132"/>
      <c r="ES101" s="132"/>
      <c r="ET101" s="132"/>
      <c r="EU101" s="132"/>
      <c r="EV101" s="132"/>
      <c r="EW101" s="132"/>
      <c r="EX101" s="132"/>
      <c r="EY101" s="132"/>
      <c r="EZ101" s="132"/>
      <c r="FA101" s="132"/>
      <c r="FB101" s="132"/>
      <c r="FC101" s="132"/>
      <c r="FD101" s="132"/>
      <c r="FE101" s="132"/>
      <c r="FF101" s="132"/>
      <c r="FG101" s="132"/>
      <c r="FH101" s="132"/>
      <c r="FI101" s="132"/>
      <c r="FJ101" s="132"/>
      <c r="FK101" s="132"/>
      <c r="FL101" s="132"/>
      <c r="FM101" s="132"/>
      <c r="FN101" s="132"/>
      <c r="FO101" s="132"/>
      <c r="FP101" s="132"/>
      <c r="FQ101" s="132"/>
      <c r="FR101" s="132"/>
      <c r="FS101" s="132"/>
      <c r="FT101" s="132"/>
      <c r="FU101" s="132"/>
      <c r="FV101" s="132"/>
      <c r="FW101" s="132"/>
      <c r="FX101" s="132"/>
      <c r="FY101" s="132"/>
      <c r="FZ101" s="132"/>
      <c r="GA101" s="132"/>
      <c r="GB101" s="132"/>
      <c r="GC101" s="132"/>
      <c r="GD101" s="132"/>
      <c r="GE101" s="132"/>
      <c r="GF101" s="132"/>
      <c r="GG101" s="132"/>
      <c r="GH101" s="132"/>
      <c r="GI101" s="132"/>
      <c r="GJ101" s="132"/>
      <c r="GK101" s="132"/>
      <c r="GL101" s="132"/>
      <c r="GM101" s="132"/>
      <c r="GN101" s="132"/>
      <c r="GO101" s="132"/>
      <c r="GP101" s="132"/>
      <c r="GQ101" s="132"/>
      <c r="GR101" s="132"/>
      <c r="GS101" s="132"/>
      <c r="GT101" s="132"/>
      <c r="GU101" s="132"/>
      <c r="GV101" s="132"/>
      <c r="GW101" s="132"/>
      <c r="GX101" s="132"/>
      <c r="GY101" s="132"/>
      <c r="GZ101" s="132"/>
      <c r="HA101" s="132"/>
      <c r="HB101" s="132"/>
      <c r="HC101" s="132"/>
      <c r="HD101" s="132"/>
      <c r="HE101" s="132"/>
      <c r="HF101" s="132"/>
      <c r="HG101" s="132"/>
      <c r="HH101" s="132"/>
      <c r="HI101" s="132"/>
      <c r="HJ101" s="132"/>
      <c r="HK101" s="132"/>
      <c r="HL101" s="132"/>
      <c r="HM101" s="132"/>
      <c r="HN101" s="132"/>
      <c r="HO101" s="132"/>
      <c r="HP101" s="132"/>
      <c r="HQ101" s="132"/>
      <c r="HR101" s="132"/>
      <c r="HS101" s="132"/>
      <c r="HT101" s="132"/>
      <c r="HU101" s="132"/>
      <c r="HV101" s="132"/>
      <c r="HW101" s="132"/>
      <c r="HX101" s="132"/>
      <c r="HY101" s="132"/>
      <c r="HZ101" s="132"/>
      <c r="IA101" s="132"/>
      <c r="IB101" s="132"/>
      <c r="IC101" s="132"/>
      <c r="ID101" s="132"/>
      <c r="IE101" s="132"/>
      <c r="IF101" s="132"/>
      <c r="IG101" s="132"/>
      <c r="IH101" s="132"/>
      <c r="II101" s="132"/>
      <c r="IJ101" s="132"/>
      <c r="IK101" s="132"/>
      <c r="IL101" s="132"/>
      <c r="IM101" s="132"/>
      <c r="IN101" s="132"/>
      <c r="IO101" s="132"/>
      <c r="IP101" s="132"/>
      <c r="IQ101" s="132"/>
      <c r="IR101" s="132"/>
      <c r="IS101" s="132"/>
      <c r="IT101" s="132"/>
      <c r="IU101" s="132"/>
      <c r="IV101" s="132"/>
    </row>
    <row r="103" spans="2:256" s="225" customFormat="1" ht="0" hidden="1" customHeight="1">
      <c r="B103" s="132"/>
      <c r="C103" s="132"/>
      <c r="D103" s="132"/>
      <c r="E103" s="132"/>
      <c r="F103" s="132"/>
      <c r="G103" s="132"/>
      <c r="H103" s="132"/>
      <c r="I103" s="132"/>
      <c r="J103" s="132"/>
      <c r="K103" s="132"/>
      <c r="L103" s="132"/>
      <c r="M103" s="132"/>
      <c r="N103" s="132"/>
      <c r="O103" s="132"/>
      <c r="P103" s="132"/>
      <c r="Q103" s="132"/>
      <c r="R103" s="132"/>
      <c r="S103" s="132"/>
      <c r="T103" s="132"/>
      <c r="U103" s="132"/>
      <c r="V103" s="132"/>
      <c r="W103" s="132"/>
      <c r="X103" s="132"/>
      <c r="Y103" s="132"/>
      <c r="Z103" s="132"/>
      <c r="AA103" s="132"/>
      <c r="AB103" s="132"/>
      <c r="AC103" s="132"/>
      <c r="AD103" s="132"/>
      <c r="AE103" s="132"/>
      <c r="AF103" s="132"/>
      <c r="AG103" s="132"/>
      <c r="AH103" s="132"/>
      <c r="AI103" s="132"/>
      <c r="AJ103" s="132"/>
      <c r="AK103" s="132"/>
      <c r="AL103" s="132"/>
      <c r="AM103" s="132"/>
      <c r="AN103" s="132"/>
      <c r="AO103" s="132"/>
      <c r="AP103" s="132"/>
      <c r="AQ103" s="132"/>
      <c r="AR103" s="132"/>
      <c r="AS103" s="132"/>
      <c r="AT103" s="132"/>
      <c r="AU103" s="132"/>
      <c r="AV103" s="132"/>
      <c r="AW103" s="132"/>
      <c r="AX103" s="132"/>
      <c r="AY103" s="132"/>
      <c r="AZ103" s="132"/>
      <c r="BA103" s="132"/>
      <c r="BB103" s="132"/>
      <c r="BC103" s="132"/>
      <c r="BD103" s="132"/>
      <c r="BE103" s="132"/>
      <c r="BF103" s="132"/>
      <c r="BG103" s="132"/>
      <c r="BH103" s="132"/>
      <c r="BI103" s="132"/>
      <c r="BJ103" s="132"/>
      <c r="BK103" s="132"/>
      <c r="BL103" s="132"/>
      <c r="BM103" s="132"/>
      <c r="BN103" s="132"/>
      <c r="BO103" s="132"/>
      <c r="BP103" s="132"/>
      <c r="BQ103" s="132"/>
      <c r="BR103" s="132"/>
      <c r="BS103" s="132"/>
      <c r="BT103" s="132"/>
      <c r="BU103" s="132"/>
      <c r="BV103" s="132"/>
      <c r="BW103" s="132"/>
      <c r="BX103" s="132"/>
      <c r="BY103" s="132"/>
      <c r="BZ103" s="132"/>
      <c r="CA103" s="132"/>
      <c r="CB103" s="132"/>
      <c r="CC103" s="132"/>
      <c r="CD103" s="132"/>
      <c r="CE103" s="132"/>
      <c r="CF103" s="132"/>
      <c r="CG103" s="132"/>
      <c r="CH103" s="132"/>
      <c r="CI103" s="132"/>
      <c r="CJ103" s="132"/>
      <c r="CK103" s="132"/>
      <c r="CL103" s="132"/>
      <c r="CM103" s="132"/>
      <c r="CN103" s="132"/>
      <c r="CO103" s="132"/>
      <c r="CP103" s="132"/>
      <c r="CQ103" s="132"/>
      <c r="CR103" s="132"/>
      <c r="CS103" s="132"/>
      <c r="CT103" s="132"/>
      <c r="CU103" s="132"/>
      <c r="CV103" s="132"/>
      <c r="CW103" s="132"/>
      <c r="CX103" s="132"/>
      <c r="CY103" s="132"/>
      <c r="CZ103" s="132"/>
      <c r="DA103" s="132"/>
      <c r="DB103" s="132"/>
      <c r="DC103" s="132"/>
      <c r="DD103" s="132"/>
      <c r="DE103" s="132"/>
      <c r="DF103" s="132"/>
      <c r="DG103" s="132"/>
      <c r="DH103" s="132"/>
      <c r="DI103" s="132"/>
      <c r="DJ103" s="132"/>
      <c r="DK103" s="132"/>
      <c r="DL103" s="132"/>
      <c r="DM103" s="132"/>
      <c r="DN103" s="132"/>
      <c r="DO103" s="132"/>
      <c r="DP103" s="132"/>
      <c r="DQ103" s="132"/>
      <c r="DR103" s="132"/>
      <c r="DS103" s="132"/>
      <c r="DT103" s="132"/>
      <c r="DU103" s="132"/>
      <c r="DV103" s="132"/>
      <c r="DW103" s="132"/>
      <c r="DX103" s="132"/>
      <c r="DY103" s="132"/>
      <c r="DZ103" s="132"/>
      <c r="EA103" s="132"/>
      <c r="EB103" s="132"/>
      <c r="EC103" s="132"/>
      <c r="ED103" s="132"/>
      <c r="EE103" s="132"/>
      <c r="EF103" s="132"/>
      <c r="EG103" s="132"/>
      <c r="EH103" s="132"/>
      <c r="EI103" s="132"/>
      <c r="EJ103" s="132"/>
      <c r="EK103" s="132"/>
      <c r="EL103" s="132"/>
      <c r="EM103" s="132"/>
      <c r="EN103" s="132"/>
      <c r="EO103" s="132"/>
      <c r="EP103" s="132"/>
      <c r="EQ103" s="132"/>
      <c r="ER103" s="132"/>
      <c r="ES103" s="132"/>
      <c r="ET103" s="132"/>
      <c r="EU103" s="132"/>
      <c r="EV103" s="132"/>
      <c r="EW103" s="132"/>
      <c r="EX103" s="132"/>
      <c r="EY103" s="132"/>
      <c r="EZ103" s="132"/>
      <c r="FA103" s="132"/>
      <c r="FB103" s="132"/>
      <c r="FC103" s="132"/>
      <c r="FD103" s="132"/>
      <c r="FE103" s="132"/>
      <c r="FF103" s="132"/>
      <c r="FG103" s="132"/>
      <c r="FH103" s="132"/>
      <c r="FI103" s="132"/>
      <c r="FJ103" s="132"/>
      <c r="FK103" s="132"/>
      <c r="FL103" s="132"/>
      <c r="FM103" s="132"/>
      <c r="FN103" s="132"/>
      <c r="FO103" s="132"/>
      <c r="FP103" s="132"/>
      <c r="FQ103" s="132"/>
      <c r="FR103" s="132"/>
      <c r="FS103" s="132"/>
      <c r="FT103" s="132"/>
      <c r="FU103" s="132"/>
      <c r="FV103" s="132"/>
      <c r="FW103" s="132"/>
      <c r="FX103" s="132"/>
      <c r="FY103" s="132"/>
      <c r="FZ103" s="132"/>
      <c r="GA103" s="132"/>
      <c r="GB103" s="132"/>
      <c r="GC103" s="132"/>
      <c r="GD103" s="132"/>
      <c r="GE103" s="132"/>
      <c r="GF103" s="132"/>
      <c r="GG103" s="132"/>
      <c r="GH103" s="132"/>
      <c r="GI103" s="132"/>
      <c r="GJ103" s="132"/>
      <c r="GK103" s="132"/>
      <c r="GL103" s="132"/>
      <c r="GM103" s="132"/>
      <c r="GN103" s="132"/>
      <c r="GO103" s="132"/>
      <c r="GP103" s="132"/>
      <c r="GQ103" s="132"/>
      <c r="GR103" s="132"/>
      <c r="GS103" s="132"/>
      <c r="GT103" s="132"/>
      <c r="GU103" s="132"/>
      <c r="GV103" s="132"/>
      <c r="GW103" s="132"/>
      <c r="GX103" s="132"/>
      <c r="GY103" s="132"/>
      <c r="GZ103" s="132"/>
      <c r="HA103" s="132"/>
      <c r="HB103" s="132"/>
      <c r="HC103" s="132"/>
      <c r="HD103" s="132"/>
      <c r="HE103" s="132"/>
      <c r="HF103" s="132"/>
      <c r="HG103" s="132"/>
      <c r="HH103" s="132"/>
      <c r="HI103" s="132"/>
      <c r="HJ103" s="132"/>
      <c r="HK103" s="132"/>
      <c r="HL103" s="132"/>
      <c r="HM103" s="132"/>
      <c r="HN103" s="132"/>
      <c r="HO103" s="132"/>
      <c r="HP103" s="132"/>
      <c r="HQ103" s="132"/>
      <c r="HR103" s="132"/>
      <c r="HS103" s="132"/>
      <c r="HT103" s="132"/>
      <c r="HU103" s="132"/>
      <c r="HV103" s="132"/>
      <c r="HW103" s="132"/>
      <c r="HX103" s="132"/>
      <c r="HY103" s="132"/>
      <c r="HZ103" s="132"/>
      <c r="IA103" s="132"/>
      <c r="IB103" s="132"/>
      <c r="IC103" s="132"/>
      <c r="ID103" s="132"/>
      <c r="IE103" s="132"/>
      <c r="IF103" s="132"/>
      <c r="IG103" s="132"/>
      <c r="IH103" s="132"/>
      <c r="II103" s="132"/>
      <c r="IJ103" s="132"/>
      <c r="IK103" s="132"/>
      <c r="IL103" s="132"/>
      <c r="IM103" s="132"/>
      <c r="IN103" s="132"/>
      <c r="IO103" s="132"/>
      <c r="IP103" s="132"/>
      <c r="IQ103" s="132"/>
      <c r="IR103" s="132"/>
      <c r="IS103" s="132"/>
      <c r="IT103" s="132"/>
      <c r="IU103" s="132"/>
      <c r="IV103" s="132"/>
    </row>
    <row r="104" spans="2:256" s="225" customFormat="1" ht="0" hidden="1" customHeight="1">
      <c r="B104" s="132"/>
      <c r="C104" s="132"/>
      <c r="D104" s="132"/>
      <c r="E104" s="132"/>
      <c r="F104" s="132"/>
      <c r="G104" s="132"/>
      <c r="H104" s="132"/>
      <c r="I104" s="132"/>
      <c r="J104" s="132"/>
      <c r="K104" s="132"/>
      <c r="L104" s="132"/>
      <c r="M104" s="132"/>
      <c r="N104" s="132"/>
      <c r="O104" s="132"/>
      <c r="P104" s="132"/>
      <c r="Q104" s="132"/>
      <c r="R104" s="132"/>
      <c r="S104" s="132"/>
      <c r="T104" s="132"/>
      <c r="U104" s="132"/>
      <c r="V104" s="132"/>
      <c r="W104" s="132"/>
      <c r="X104" s="132"/>
      <c r="Y104" s="132"/>
      <c r="Z104" s="132"/>
      <c r="AA104" s="132"/>
      <c r="AB104" s="132"/>
      <c r="AC104" s="132"/>
      <c r="AD104" s="132"/>
      <c r="AE104" s="132"/>
      <c r="AF104" s="132"/>
      <c r="AG104" s="132"/>
      <c r="AH104" s="132"/>
      <c r="AI104" s="132"/>
      <c r="AJ104" s="132"/>
      <c r="AK104" s="132"/>
      <c r="AL104" s="132"/>
      <c r="AM104" s="132"/>
      <c r="AN104" s="132"/>
      <c r="AO104" s="132"/>
      <c r="AP104" s="132"/>
      <c r="AQ104" s="132"/>
      <c r="AR104" s="132"/>
      <c r="AS104" s="132"/>
      <c r="AT104" s="132"/>
      <c r="AU104" s="132"/>
      <c r="AV104" s="132"/>
      <c r="AW104" s="132"/>
      <c r="AX104" s="132"/>
      <c r="AY104" s="132"/>
      <c r="AZ104" s="132"/>
      <c r="BA104" s="132"/>
      <c r="BB104" s="132"/>
      <c r="BC104" s="132"/>
      <c r="BD104" s="132"/>
      <c r="BE104" s="132"/>
      <c r="BF104" s="132"/>
      <c r="BG104" s="132"/>
      <c r="BH104" s="132"/>
      <c r="BI104" s="132"/>
      <c r="BJ104" s="132"/>
      <c r="BK104" s="132"/>
      <c r="BL104" s="132"/>
      <c r="BM104" s="132"/>
      <c r="BN104" s="132"/>
      <c r="BO104" s="132"/>
      <c r="BP104" s="132"/>
      <c r="BQ104" s="132"/>
      <c r="BR104" s="132"/>
      <c r="BS104" s="132"/>
      <c r="BT104" s="132"/>
      <c r="BU104" s="132"/>
      <c r="BV104" s="132"/>
      <c r="BW104" s="132"/>
      <c r="BX104" s="132"/>
      <c r="BY104" s="132"/>
      <c r="BZ104" s="132"/>
      <c r="CA104" s="132"/>
      <c r="CB104" s="132"/>
      <c r="CC104" s="132"/>
      <c r="CD104" s="132"/>
      <c r="CE104" s="132"/>
      <c r="CF104" s="132"/>
      <c r="CG104" s="132"/>
      <c r="CH104" s="132"/>
      <c r="CI104" s="132"/>
      <c r="CJ104" s="132"/>
      <c r="CK104" s="132"/>
      <c r="CL104" s="132"/>
      <c r="CM104" s="132"/>
      <c r="CN104" s="132"/>
      <c r="CO104" s="132"/>
      <c r="CP104" s="132"/>
      <c r="CQ104" s="132"/>
      <c r="CR104" s="132"/>
      <c r="CS104" s="132"/>
      <c r="CT104" s="132"/>
      <c r="CU104" s="132"/>
      <c r="CV104" s="132"/>
      <c r="CW104" s="132"/>
      <c r="CX104" s="132"/>
      <c r="CY104" s="132"/>
      <c r="CZ104" s="132"/>
      <c r="DA104" s="132"/>
      <c r="DB104" s="132"/>
      <c r="DC104" s="132"/>
      <c r="DD104" s="132"/>
      <c r="DE104" s="132"/>
      <c r="DF104" s="132"/>
      <c r="DG104" s="132"/>
      <c r="DH104" s="132"/>
      <c r="DI104" s="132"/>
      <c r="DJ104" s="132"/>
      <c r="DK104" s="132"/>
      <c r="DL104" s="132"/>
      <c r="DM104" s="132"/>
      <c r="DN104" s="132"/>
      <c r="DO104" s="132"/>
      <c r="DP104" s="132"/>
      <c r="DQ104" s="132"/>
      <c r="DR104" s="132"/>
      <c r="DS104" s="132"/>
      <c r="DT104" s="132"/>
      <c r="DU104" s="132"/>
      <c r="DV104" s="132"/>
      <c r="DW104" s="132"/>
      <c r="DX104" s="132"/>
      <c r="DY104" s="132"/>
      <c r="DZ104" s="132"/>
      <c r="EA104" s="132"/>
      <c r="EB104" s="132"/>
      <c r="EC104" s="132"/>
      <c r="ED104" s="132"/>
      <c r="EE104" s="132"/>
      <c r="EF104" s="132"/>
      <c r="EG104" s="132"/>
      <c r="EH104" s="132"/>
      <c r="EI104" s="132"/>
      <c r="EJ104" s="132"/>
      <c r="EK104" s="132"/>
      <c r="EL104" s="132"/>
      <c r="EM104" s="132"/>
      <c r="EN104" s="132"/>
      <c r="EO104" s="132"/>
      <c r="EP104" s="132"/>
      <c r="EQ104" s="132"/>
      <c r="ER104" s="132"/>
      <c r="ES104" s="132"/>
      <c r="ET104" s="132"/>
      <c r="EU104" s="132"/>
      <c r="EV104" s="132"/>
      <c r="EW104" s="132"/>
      <c r="EX104" s="132"/>
      <c r="EY104" s="132"/>
      <c r="EZ104" s="132"/>
      <c r="FA104" s="132"/>
      <c r="FB104" s="132"/>
      <c r="FC104" s="132"/>
      <c r="FD104" s="132"/>
      <c r="FE104" s="132"/>
      <c r="FF104" s="132"/>
      <c r="FG104" s="132"/>
      <c r="FH104" s="132"/>
      <c r="FI104" s="132"/>
      <c r="FJ104" s="132"/>
      <c r="FK104" s="132"/>
      <c r="FL104" s="132"/>
      <c r="FM104" s="132"/>
      <c r="FN104" s="132"/>
      <c r="FO104" s="132"/>
      <c r="FP104" s="132"/>
      <c r="FQ104" s="132"/>
      <c r="FR104" s="132"/>
      <c r="FS104" s="132"/>
      <c r="FT104" s="132"/>
      <c r="FU104" s="132"/>
      <c r="FV104" s="132"/>
      <c r="FW104" s="132"/>
      <c r="FX104" s="132"/>
      <c r="FY104" s="132"/>
      <c r="FZ104" s="132"/>
      <c r="GA104" s="132"/>
      <c r="GB104" s="132"/>
      <c r="GC104" s="132"/>
      <c r="GD104" s="132"/>
      <c r="GE104" s="132"/>
      <c r="GF104" s="132"/>
      <c r="GG104" s="132"/>
      <c r="GH104" s="132"/>
      <c r="GI104" s="132"/>
      <c r="GJ104" s="132"/>
      <c r="GK104" s="132"/>
      <c r="GL104" s="132"/>
      <c r="GM104" s="132"/>
      <c r="GN104" s="132"/>
      <c r="GO104" s="132"/>
      <c r="GP104" s="132"/>
      <c r="GQ104" s="132"/>
      <c r="GR104" s="132"/>
      <c r="GS104" s="132"/>
      <c r="GT104" s="132"/>
      <c r="GU104" s="132"/>
      <c r="GV104" s="132"/>
      <c r="GW104" s="132"/>
      <c r="GX104" s="132"/>
      <c r="GY104" s="132"/>
      <c r="GZ104" s="132"/>
      <c r="HA104" s="132"/>
      <c r="HB104" s="132"/>
      <c r="HC104" s="132"/>
      <c r="HD104" s="132"/>
      <c r="HE104" s="132"/>
      <c r="HF104" s="132"/>
      <c r="HG104" s="132"/>
      <c r="HH104" s="132"/>
      <c r="HI104" s="132"/>
      <c r="HJ104" s="132"/>
      <c r="HK104" s="132"/>
      <c r="HL104" s="132"/>
      <c r="HM104" s="132"/>
      <c r="HN104" s="132"/>
      <c r="HO104" s="132"/>
      <c r="HP104" s="132"/>
      <c r="HQ104" s="132"/>
      <c r="HR104" s="132"/>
      <c r="HS104" s="132"/>
      <c r="HT104" s="132"/>
      <c r="HU104" s="132"/>
      <c r="HV104" s="132"/>
      <c r="HW104" s="132"/>
      <c r="HX104" s="132"/>
      <c r="HY104" s="132"/>
      <c r="HZ104" s="132"/>
      <c r="IA104" s="132"/>
      <c r="IB104" s="132"/>
      <c r="IC104" s="132"/>
      <c r="ID104" s="132"/>
      <c r="IE104" s="132"/>
      <c r="IF104" s="132"/>
      <c r="IG104" s="132"/>
      <c r="IH104" s="132"/>
      <c r="II104" s="132"/>
      <c r="IJ104" s="132"/>
      <c r="IK104" s="132"/>
      <c r="IL104" s="132"/>
      <c r="IM104" s="132"/>
      <c r="IN104" s="132"/>
      <c r="IO104" s="132"/>
      <c r="IP104" s="132"/>
      <c r="IQ104" s="132"/>
      <c r="IR104" s="132"/>
      <c r="IS104" s="132"/>
      <c r="IT104" s="132"/>
      <c r="IU104" s="132"/>
      <c r="IV104" s="132"/>
    </row>
    <row r="105" spans="2:256" s="225" customFormat="1" ht="0" hidden="1" customHeight="1">
      <c r="B105" s="132"/>
      <c r="C105" s="132"/>
      <c r="D105" s="132"/>
      <c r="E105" s="132"/>
      <c r="F105" s="132"/>
      <c r="G105" s="132"/>
      <c r="H105" s="132"/>
      <c r="I105" s="132"/>
      <c r="J105" s="132"/>
      <c r="K105" s="132"/>
      <c r="L105" s="132"/>
      <c r="M105" s="132"/>
      <c r="N105" s="132"/>
      <c r="O105" s="132"/>
      <c r="P105" s="132"/>
      <c r="Q105" s="132"/>
      <c r="R105" s="132"/>
      <c r="S105" s="132"/>
      <c r="T105" s="132"/>
      <c r="U105" s="132"/>
      <c r="V105" s="132"/>
      <c r="W105" s="132"/>
      <c r="X105" s="132"/>
      <c r="Y105" s="132"/>
      <c r="Z105" s="132"/>
      <c r="AA105" s="132"/>
      <c r="AB105" s="132"/>
      <c r="AC105" s="132"/>
      <c r="AD105" s="132"/>
      <c r="AE105" s="132"/>
      <c r="AF105" s="132"/>
      <c r="AG105" s="132"/>
      <c r="AH105" s="132"/>
      <c r="AI105" s="132"/>
      <c r="AJ105" s="132"/>
      <c r="AK105" s="132"/>
      <c r="AL105" s="132"/>
      <c r="AM105" s="132"/>
      <c r="AN105" s="132"/>
      <c r="AO105" s="132"/>
      <c r="AP105" s="132"/>
      <c r="AQ105" s="132"/>
      <c r="AR105" s="132"/>
      <c r="AS105" s="132"/>
      <c r="AT105" s="132"/>
      <c r="AU105" s="132"/>
      <c r="AV105" s="132"/>
      <c r="AW105" s="132"/>
      <c r="AX105" s="132"/>
      <c r="AY105" s="132"/>
      <c r="AZ105" s="132"/>
      <c r="BA105" s="132"/>
      <c r="BB105" s="132"/>
      <c r="BC105" s="132"/>
      <c r="BD105" s="132"/>
      <c r="BE105" s="132"/>
      <c r="BF105" s="132"/>
      <c r="BG105" s="132"/>
      <c r="BH105" s="132"/>
      <c r="BI105" s="132"/>
      <c r="BJ105" s="132"/>
      <c r="BK105" s="132"/>
      <c r="BL105" s="132"/>
      <c r="BM105" s="132"/>
      <c r="BN105" s="132"/>
      <c r="BO105" s="132"/>
      <c r="BP105" s="132"/>
      <c r="BQ105" s="132"/>
      <c r="BR105" s="132"/>
      <c r="BS105" s="132"/>
      <c r="BT105" s="132"/>
      <c r="BU105" s="132"/>
      <c r="BV105" s="132"/>
      <c r="BW105" s="132"/>
      <c r="BX105" s="132"/>
      <c r="BY105" s="132"/>
      <c r="BZ105" s="132"/>
      <c r="CA105" s="132"/>
      <c r="CB105" s="132"/>
      <c r="CC105" s="132"/>
      <c r="CD105" s="132"/>
      <c r="CE105" s="132"/>
      <c r="CF105" s="132"/>
      <c r="CG105" s="132"/>
      <c r="CH105" s="132"/>
      <c r="CI105" s="132"/>
      <c r="CJ105" s="132"/>
      <c r="CK105" s="132"/>
      <c r="CL105" s="132"/>
      <c r="CM105" s="132"/>
      <c r="CN105" s="132"/>
      <c r="CO105" s="132"/>
      <c r="CP105" s="132"/>
      <c r="CQ105" s="132"/>
      <c r="CR105" s="132"/>
      <c r="CS105" s="132"/>
      <c r="CT105" s="132"/>
      <c r="CU105" s="132"/>
      <c r="CV105" s="132"/>
      <c r="CW105" s="132"/>
      <c r="CX105" s="132"/>
      <c r="CY105" s="132"/>
      <c r="CZ105" s="132"/>
      <c r="DA105" s="132"/>
      <c r="DB105" s="132"/>
      <c r="DC105" s="132"/>
      <c r="DD105" s="132"/>
      <c r="DE105" s="132"/>
      <c r="DF105" s="132"/>
      <c r="DG105" s="132"/>
      <c r="DH105" s="132"/>
      <c r="DI105" s="132"/>
      <c r="DJ105" s="132"/>
      <c r="DK105" s="132"/>
      <c r="DL105" s="132"/>
      <c r="DM105" s="132"/>
      <c r="DN105" s="132"/>
      <c r="DO105" s="132"/>
      <c r="DP105" s="132"/>
      <c r="DQ105" s="132"/>
      <c r="DR105" s="132"/>
      <c r="DS105" s="132"/>
      <c r="DT105" s="132"/>
      <c r="DU105" s="132"/>
      <c r="DV105" s="132"/>
      <c r="DW105" s="132"/>
      <c r="DX105" s="132"/>
      <c r="DY105" s="132"/>
      <c r="DZ105" s="132"/>
      <c r="EA105" s="132"/>
      <c r="EB105" s="132"/>
      <c r="EC105" s="132"/>
      <c r="ED105" s="132"/>
      <c r="EE105" s="132"/>
      <c r="EF105" s="132"/>
      <c r="EG105" s="132"/>
      <c r="EH105" s="132"/>
      <c r="EI105" s="132"/>
      <c r="EJ105" s="132"/>
      <c r="EK105" s="132"/>
      <c r="EL105" s="132"/>
      <c r="EM105" s="132"/>
      <c r="EN105" s="132"/>
      <c r="EO105" s="132"/>
      <c r="EP105" s="132"/>
      <c r="EQ105" s="132"/>
      <c r="ER105" s="132"/>
      <c r="ES105" s="132"/>
      <c r="ET105" s="132"/>
      <c r="EU105" s="132"/>
      <c r="EV105" s="132"/>
      <c r="EW105" s="132"/>
      <c r="EX105" s="132"/>
      <c r="EY105" s="132"/>
      <c r="EZ105" s="132"/>
      <c r="FA105" s="132"/>
      <c r="FB105" s="132"/>
      <c r="FC105" s="132"/>
      <c r="FD105" s="132"/>
      <c r="FE105" s="132"/>
      <c r="FF105" s="132"/>
      <c r="FG105" s="132"/>
      <c r="FH105" s="132"/>
      <c r="FI105" s="132"/>
      <c r="FJ105" s="132"/>
      <c r="FK105" s="132"/>
      <c r="FL105" s="132"/>
      <c r="FM105" s="132"/>
      <c r="FN105" s="132"/>
      <c r="FO105" s="132"/>
      <c r="FP105" s="132"/>
      <c r="FQ105" s="132"/>
      <c r="FR105" s="132"/>
      <c r="FS105" s="132"/>
      <c r="FT105" s="132"/>
      <c r="FU105" s="132"/>
      <c r="FV105" s="132"/>
      <c r="FW105" s="132"/>
      <c r="FX105" s="132"/>
      <c r="FY105" s="132"/>
      <c r="FZ105" s="132"/>
      <c r="GA105" s="132"/>
      <c r="GB105" s="132"/>
      <c r="GC105" s="132"/>
      <c r="GD105" s="132"/>
      <c r="GE105" s="132"/>
      <c r="GF105" s="132"/>
      <c r="GG105" s="132"/>
      <c r="GH105" s="132"/>
      <c r="GI105" s="132"/>
      <c r="GJ105" s="132"/>
      <c r="GK105" s="132"/>
      <c r="GL105" s="132"/>
      <c r="GM105" s="132"/>
      <c r="GN105" s="132"/>
      <c r="GO105" s="132"/>
      <c r="GP105" s="132"/>
      <c r="GQ105" s="132"/>
      <c r="GR105" s="132"/>
      <c r="GS105" s="132"/>
      <c r="GT105" s="132"/>
      <c r="GU105" s="132"/>
      <c r="GV105" s="132"/>
      <c r="GW105" s="132"/>
      <c r="GX105" s="132"/>
      <c r="GY105" s="132"/>
      <c r="GZ105" s="132"/>
      <c r="HA105" s="132"/>
      <c r="HB105" s="132"/>
      <c r="HC105" s="132"/>
      <c r="HD105" s="132"/>
      <c r="HE105" s="132"/>
      <c r="HF105" s="132"/>
      <c r="HG105" s="132"/>
      <c r="HH105" s="132"/>
      <c r="HI105" s="132"/>
      <c r="HJ105" s="132"/>
      <c r="HK105" s="132"/>
      <c r="HL105" s="132"/>
      <c r="HM105" s="132"/>
      <c r="HN105" s="132"/>
      <c r="HO105" s="132"/>
      <c r="HP105" s="132"/>
      <c r="HQ105" s="132"/>
      <c r="HR105" s="132"/>
      <c r="HS105" s="132"/>
      <c r="HT105" s="132"/>
      <c r="HU105" s="132"/>
      <c r="HV105" s="132"/>
      <c r="HW105" s="132"/>
      <c r="HX105" s="132"/>
      <c r="HY105" s="132"/>
      <c r="HZ105" s="132"/>
      <c r="IA105" s="132"/>
      <c r="IB105" s="132"/>
      <c r="IC105" s="132"/>
      <c r="ID105" s="132"/>
      <c r="IE105" s="132"/>
      <c r="IF105" s="132"/>
      <c r="IG105" s="132"/>
      <c r="IH105" s="132"/>
      <c r="II105" s="132"/>
      <c r="IJ105" s="132"/>
      <c r="IK105" s="132"/>
      <c r="IL105" s="132"/>
      <c r="IM105" s="132"/>
      <c r="IN105" s="132"/>
      <c r="IO105" s="132"/>
      <c r="IP105" s="132"/>
      <c r="IQ105" s="132"/>
      <c r="IR105" s="132"/>
      <c r="IS105" s="132"/>
      <c r="IT105" s="132"/>
      <c r="IU105" s="132"/>
      <c r="IV105" s="132"/>
    </row>
    <row r="106" spans="2:256" s="225" customFormat="1" ht="0" hidden="1" customHeight="1">
      <c r="B106" s="132"/>
      <c r="C106" s="132"/>
      <c r="D106" s="132"/>
      <c r="E106" s="132"/>
      <c r="F106" s="132"/>
      <c r="G106" s="132"/>
      <c r="H106" s="132"/>
      <c r="I106" s="132"/>
      <c r="J106" s="132"/>
      <c r="K106" s="132"/>
      <c r="L106" s="132"/>
      <c r="M106" s="132"/>
      <c r="N106" s="132"/>
      <c r="O106" s="132"/>
      <c r="P106" s="132"/>
      <c r="Q106" s="132"/>
      <c r="R106" s="132"/>
      <c r="S106" s="132"/>
      <c r="T106" s="132"/>
      <c r="U106" s="132"/>
      <c r="V106" s="132"/>
      <c r="W106" s="132"/>
      <c r="X106" s="132"/>
      <c r="Y106" s="132"/>
      <c r="Z106" s="132"/>
      <c r="AA106" s="132"/>
      <c r="AB106" s="132"/>
      <c r="AC106" s="132"/>
      <c r="AD106" s="132"/>
      <c r="AE106" s="132"/>
      <c r="AF106" s="132"/>
      <c r="AG106" s="132"/>
      <c r="AH106" s="132"/>
      <c r="AI106" s="132"/>
      <c r="AJ106" s="132"/>
      <c r="AK106" s="132"/>
      <c r="AL106" s="132"/>
      <c r="AM106" s="132"/>
      <c r="AN106" s="132"/>
      <c r="AO106" s="132"/>
      <c r="AP106" s="132"/>
      <c r="AQ106" s="132"/>
      <c r="AR106" s="132"/>
      <c r="AS106" s="132"/>
      <c r="AT106" s="132"/>
      <c r="AU106" s="132"/>
      <c r="AV106" s="132"/>
      <c r="AW106" s="132"/>
      <c r="AX106" s="132"/>
      <c r="AY106" s="132"/>
      <c r="AZ106" s="132"/>
      <c r="BA106" s="132"/>
      <c r="BB106" s="132"/>
      <c r="BC106" s="132"/>
      <c r="BD106" s="132"/>
      <c r="BE106" s="132"/>
      <c r="BF106" s="132"/>
      <c r="BG106" s="132"/>
      <c r="BH106" s="132"/>
      <c r="BI106" s="132"/>
      <c r="BJ106" s="132"/>
      <c r="BK106" s="132"/>
      <c r="BL106" s="132"/>
      <c r="BM106" s="132"/>
      <c r="BN106" s="132"/>
      <c r="BO106" s="132"/>
      <c r="BP106" s="132"/>
      <c r="BQ106" s="132"/>
      <c r="BR106" s="132"/>
      <c r="BS106" s="132"/>
      <c r="BT106" s="132"/>
      <c r="BU106" s="132"/>
      <c r="BV106" s="132"/>
      <c r="BW106" s="132"/>
      <c r="BX106" s="132"/>
      <c r="BY106" s="132"/>
      <c r="BZ106" s="132"/>
      <c r="CA106" s="132"/>
      <c r="CB106" s="132"/>
      <c r="CC106" s="132"/>
      <c r="CD106" s="132"/>
      <c r="CE106" s="132"/>
      <c r="CF106" s="132"/>
      <c r="CG106" s="132"/>
      <c r="CH106" s="132"/>
      <c r="CI106" s="132"/>
      <c r="CJ106" s="132"/>
      <c r="CK106" s="132"/>
      <c r="CL106" s="132"/>
      <c r="CM106" s="132"/>
      <c r="CN106" s="132"/>
      <c r="CO106" s="132"/>
      <c r="CP106" s="132"/>
      <c r="CQ106" s="132"/>
      <c r="CR106" s="132"/>
      <c r="CS106" s="132"/>
      <c r="CT106" s="132"/>
      <c r="CU106" s="132"/>
      <c r="CV106" s="132"/>
      <c r="CW106" s="132"/>
      <c r="CX106" s="132"/>
      <c r="CY106" s="132"/>
      <c r="CZ106" s="132"/>
      <c r="DA106" s="132"/>
      <c r="DB106" s="132"/>
      <c r="DC106" s="132"/>
      <c r="DD106" s="132"/>
      <c r="DE106" s="132"/>
      <c r="DF106" s="132"/>
      <c r="DG106" s="132"/>
      <c r="DH106" s="132"/>
      <c r="DI106" s="132"/>
      <c r="DJ106" s="132"/>
      <c r="DK106" s="132"/>
      <c r="DL106" s="132"/>
      <c r="DM106" s="132"/>
      <c r="DN106" s="132"/>
      <c r="DO106" s="132"/>
      <c r="DP106" s="132"/>
      <c r="DQ106" s="132"/>
      <c r="DR106" s="132"/>
      <c r="DS106" s="132"/>
      <c r="DT106" s="132"/>
      <c r="DU106" s="132"/>
      <c r="DV106" s="132"/>
      <c r="DW106" s="132"/>
      <c r="DX106" s="132"/>
      <c r="DY106" s="132"/>
      <c r="DZ106" s="132"/>
      <c r="EA106" s="132"/>
      <c r="EB106" s="132"/>
      <c r="EC106" s="132"/>
      <c r="ED106" s="132"/>
      <c r="EE106" s="132"/>
      <c r="EF106" s="132"/>
      <c r="EG106" s="132"/>
      <c r="EH106" s="132"/>
      <c r="EI106" s="132"/>
      <c r="EJ106" s="132"/>
      <c r="EK106" s="132"/>
      <c r="EL106" s="132"/>
      <c r="EM106" s="132"/>
      <c r="EN106" s="132"/>
      <c r="EO106" s="132"/>
      <c r="EP106" s="132"/>
      <c r="EQ106" s="132"/>
      <c r="ER106" s="132"/>
      <c r="ES106" s="132"/>
      <c r="ET106" s="132"/>
      <c r="EU106" s="132"/>
      <c r="EV106" s="132"/>
      <c r="EW106" s="132"/>
      <c r="EX106" s="132"/>
      <c r="EY106" s="132"/>
      <c r="EZ106" s="132"/>
      <c r="FA106" s="132"/>
      <c r="FB106" s="132"/>
      <c r="FC106" s="132"/>
      <c r="FD106" s="132"/>
      <c r="FE106" s="132"/>
      <c r="FF106" s="132"/>
      <c r="FG106" s="132"/>
      <c r="FH106" s="132"/>
      <c r="FI106" s="132"/>
      <c r="FJ106" s="132"/>
      <c r="FK106" s="132"/>
      <c r="FL106" s="132"/>
      <c r="FM106" s="132"/>
      <c r="FN106" s="132"/>
      <c r="FO106" s="132"/>
      <c r="FP106" s="132"/>
      <c r="FQ106" s="132"/>
      <c r="FR106" s="132"/>
      <c r="FS106" s="132"/>
      <c r="FT106" s="132"/>
      <c r="FU106" s="132"/>
      <c r="FV106" s="132"/>
      <c r="FW106" s="132"/>
      <c r="FX106" s="132"/>
      <c r="FY106" s="132"/>
      <c r="FZ106" s="132"/>
      <c r="GA106" s="132"/>
      <c r="GB106" s="132"/>
      <c r="GC106" s="132"/>
      <c r="GD106" s="132"/>
      <c r="GE106" s="132"/>
      <c r="GF106" s="132"/>
      <c r="GG106" s="132"/>
      <c r="GH106" s="132"/>
      <c r="GI106" s="132"/>
      <c r="GJ106" s="132"/>
      <c r="GK106" s="132"/>
      <c r="GL106" s="132"/>
      <c r="GM106" s="132"/>
      <c r="GN106" s="132"/>
      <c r="GO106" s="132"/>
      <c r="GP106" s="132"/>
      <c r="GQ106" s="132"/>
      <c r="GR106" s="132"/>
      <c r="GS106" s="132"/>
      <c r="GT106" s="132"/>
      <c r="GU106" s="132"/>
      <c r="GV106" s="132"/>
      <c r="GW106" s="132"/>
      <c r="GX106" s="132"/>
      <c r="GY106" s="132"/>
      <c r="GZ106" s="132"/>
      <c r="HA106" s="132"/>
      <c r="HB106" s="132"/>
      <c r="HC106" s="132"/>
      <c r="HD106" s="132"/>
      <c r="HE106" s="132"/>
      <c r="HF106" s="132"/>
      <c r="HG106" s="132"/>
      <c r="HH106" s="132"/>
      <c r="HI106" s="132"/>
      <c r="HJ106" s="132"/>
      <c r="HK106" s="132"/>
      <c r="HL106" s="132"/>
      <c r="HM106" s="132"/>
      <c r="HN106" s="132"/>
      <c r="HO106" s="132"/>
      <c r="HP106" s="132"/>
      <c r="HQ106" s="132"/>
      <c r="HR106" s="132"/>
      <c r="HS106" s="132"/>
      <c r="HT106" s="132"/>
      <c r="HU106" s="132"/>
      <c r="HV106" s="132"/>
      <c r="HW106" s="132"/>
      <c r="HX106" s="132"/>
      <c r="HY106" s="132"/>
      <c r="HZ106" s="132"/>
      <c r="IA106" s="132"/>
      <c r="IB106" s="132"/>
      <c r="IC106" s="132"/>
      <c r="ID106" s="132"/>
      <c r="IE106" s="132"/>
      <c r="IF106" s="132"/>
      <c r="IG106" s="132"/>
      <c r="IH106" s="132"/>
      <c r="II106" s="132"/>
      <c r="IJ106" s="132"/>
      <c r="IK106" s="132"/>
      <c r="IL106" s="132"/>
      <c r="IM106" s="132"/>
      <c r="IN106" s="132"/>
      <c r="IO106" s="132"/>
      <c r="IP106" s="132"/>
      <c r="IQ106" s="132"/>
      <c r="IR106" s="132"/>
      <c r="IS106" s="132"/>
      <c r="IT106" s="132"/>
      <c r="IU106" s="132"/>
      <c r="IV106" s="132"/>
    </row>
    <row r="107" spans="2:256" s="225" customFormat="1" ht="0" hidden="1" customHeight="1">
      <c r="B107" s="132"/>
      <c r="C107" s="132"/>
      <c r="D107" s="132"/>
      <c r="E107" s="132"/>
      <c r="F107" s="132"/>
      <c r="G107" s="132"/>
      <c r="H107" s="132"/>
      <c r="I107" s="132"/>
      <c r="J107" s="132"/>
      <c r="K107" s="132"/>
      <c r="L107" s="132"/>
      <c r="M107" s="132"/>
      <c r="N107" s="132"/>
      <c r="O107" s="132"/>
      <c r="P107" s="132"/>
      <c r="Q107" s="132"/>
      <c r="R107" s="132"/>
      <c r="S107" s="132"/>
      <c r="T107" s="132"/>
      <c r="U107" s="132"/>
      <c r="V107" s="132"/>
      <c r="W107" s="132"/>
      <c r="X107" s="132"/>
      <c r="Y107" s="132"/>
      <c r="Z107" s="132"/>
      <c r="AA107" s="132"/>
      <c r="AB107" s="132"/>
      <c r="AC107" s="132"/>
      <c r="AD107" s="132"/>
      <c r="AE107" s="132"/>
      <c r="AF107" s="132"/>
      <c r="AG107" s="132"/>
      <c r="AH107" s="132"/>
      <c r="AI107" s="132"/>
      <c r="AJ107" s="132"/>
      <c r="AK107" s="132"/>
      <c r="AL107" s="132"/>
      <c r="AM107" s="132"/>
      <c r="AN107" s="132"/>
      <c r="AO107" s="132"/>
      <c r="AP107" s="132"/>
      <c r="AQ107" s="132"/>
      <c r="AR107" s="132"/>
      <c r="AS107" s="132"/>
      <c r="AT107" s="132"/>
      <c r="AU107" s="132"/>
      <c r="AV107" s="132"/>
      <c r="AW107" s="132"/>
      <c r="AX107" s="132"/>
      <c r="AY107" s="132"/>
      <c r="AZ107" s="132"/>
      <c r="BA107" s="132"/>
      <c r="BB107" s="132"/>
      <c r="BC107" s="132"/>
      <c r="BD107" s="132"/>
      <c r="BE107" s="132"/>
      <c r="BF107" s="132"/>
      <c r="BG107" s="132"/>
      <c r="BH107" s="132"/>
      <c r="BI107" s="132"/>
      <c r="BJ107" s="132"/>
      <c r="BK107" s="132"/>
      <c r="BL107" s="132"/>
      <c r="BM107" s="132"/>
      <c r="BN107" s="132"/>
      <c r="BO107" s="132"/>
      <c r="BP107" s="132"/>
      <c r="BQ107" s="132"/>
      <c r="BR107" s="132"/>
      <c r="BS107" s="132"/>
      <c r="BT107" s="132"/>
      <c r="BU107" s="132"/>
      <c r="BV107" s="132"/>
      <c r="BW107" s="132"/>
      <c r="BX107" s="132"/>
      <c r="BY107" s="132"/>
      <c r="BZ107" s="132"/>
      <c r="CA107" s="132"/>
      <c r="CB107" s="132"/>
      <c r="CC107" s="132"/>
      <c r="CD107" s="132"/>
      <c r="CE107" s="132"/>
      <c r="CF107" s="132"/>
      <c r="CG107" s="132"/>
      <c r="CH107" s="132"/>
      <c r="CI107" s="132"/>
      <c r="CJ107" s="132"/>
      <c r="CK107" s="132"/>
      <c r="CL107" s="132"/>
      <c r="CM107" s="132"/>
      <c r="CN107" s="132"/>
      <c r="CO107" s="132"/>
      <c r="CP107" s="132"/>
      <c r="CQ107" s="132"/>
      <c r="CR107" s="132"/>
      <c r="CS107" s="132"/>
      <c r="CT107" s="132"/>
      <c r="CU107" s="132"/>
      <c r="CV107" s="132"/>
      <c r="CW107" s="132"/>
      <c r="CX107" s="132"/>
      <c r="CY107" s="132"/>
      <c r="CZ107" s="132"/>
      <c r="DA107" s="132"/>
      <c r="DB107" s="132"/>
      <c r="DC107" s="132"/>
      <c r="DD107" s="132"/>
      <c r="DE107" s="132"/>
      <c r="DF107" s="132"/>
      <c r="DG107" s="132"/>
      <c r="DH107" s="132"/>
      <c r="DI107" s="132"/>
      <c r="DJ107" s="132"/>
      <c r="DK107" s="132"/>
      <c r="DL107" s="132"/>
      <c r="DM107" s="132"/>
      <c r="DN107" s="132"/>
      <c r="DO107" s="132"/>
      <c r="DP107" s="132"/>
      <c r="DQ107" s="132"/>
      <c r="DR107" s="132"/>
      <c r="DS107" s="132"/>
      <c r="DT107" s="132"/>
      <c r="DU107" s="132"/>
      <c r="DV107" s="132"/>
      <c r="DW107" s="132"/>
      <c r="DX107" s="132"/>
      <c r="DY107" s="132"/>
      <c r="DZ107" s="132"/>
      <c r="EA107" s="132"/>
      <c r="EB107" s="132"/>
      <c r="EC107" s="132"/>
      <c r="ED107" s="132"/>
      <c r="EE107" s="132"/>
      <c r="EF107" s="132"/>
      <c r="EG107" s="132"/>
      <c r="EH107" s="132"/>
      <c r="EI107" s="132"/>
      <c r="EJ107" s="132"/>
      <c r="EK107" s="132"/>
      <c r="EL107" s="132"/>
      <c r="EM107" s="132"/>
      <c r="EN107" s="132"/>
      <c r="EO107" s="132"/>
      <c r="EP107" s="132"/>
      <c r="EQ107" s="132"/>
      <c r="ER107" s="132"/>
      <c r="ES107" s="132"/>
      <c r="ET107" s="132"/>
      <c r="EU107" s="132"/>
      <c r="EV107" s="132"/>
      <c r="EW107" s="132"/>
      <c r="EX107" s="132"/>
      <c r="EY107" s="132"/>
      <c r="EZ107" s="132"/>
      <c r="FA107" s="132"/>
      <c r="FB107" s="132"/>
      <c r="FC107" s="132"/>
      <c r="FD107" s="132"/>
      <c r="FE107" s="132"/>
      <c r="FF107" s="132"/>
      <c r="FG107" s="132"/>
      <c r="FH107" s="132"/>
      <c r="FI107" s="132"/>
      <c r="FJ107" s="132"/>
      <c r="FK107" s="132"/>
      <c r="FL107" s="132"/>
      <c r="FM107" s="132"/>
      <c r="FN107" s="132"/>
      <c r="FO107" s="132"/>
      <c r="FP107" s="132"/>
      <c r="FQ107" s="132"/>
      <c r="FR107" s="132"/>
      <c r="FS107" s="132"/>
      <c r="FT107" s="132"/>
      <c r="FU107" s="132"/>
      <c r="FV107" s="132"/>
      <c r="FW107" s="132"/>
      <c r="FX107" s="132"/>
      <c r="FY107" s="132"/>
      <c r="FZ107" s="132"/>
      <c r="GA107" s="132"/>
      <c r="GB107" s="132"/>
      <c r="GC107" s="132"/>
      <c r="GD107" s="132"/>
      <c r="GE107" s="132"/>
      <c r="GF107" s="132"/>
      <c r="GG107" s="132"/>
      <c r="GH107" s="132"/>
      <c r="GI107" s="132"/>
      <c r="GJ107" s="132"/>
      <c r="GK107" s="132"/>
      <c r="GL107" s="132"/>
      <c r="GM107" s="132"/>
      <c r="GN107" s="132"/>
      <c r="GO107" s="132"/>
      <c r="GP107" s="132"/>
      <c r="GQ107" s="132"/>
      <c r="GR107" s="132"/>
      <c r="GS107" s="132"/>
      <c r="GT107" s="132"/>
      <c r="GU107" s="132"/>
      <c r="GV107" s="132"/>
      <c r="GW107" s="132"/>
      <c r="GX107" s="132"/>
      <c r="GY107" s="132"/>
      <c r="GZ107" s="132"/>
      <c r="HA107" s="132"/>
      <c r="HB107" s="132"/>
      <c r="HC107" s="132"/>
      <c r="HD107" s="132"/>
      <c r="HE107" s="132"/>
      <c r="HF107" s="132"/>
      <c r="HG107" s="132"/>
      <c r="HH107" s="132"/>
      <c r="HI107" s="132"/>
      <c r="HJ107" s="132"/>
      <c r="HK107" s="132"/>
      <c r="HL107" s="132"/>
      <c r="HM107" s="132"/>
      <c r="HN107" s="132"/>
      <c r="HO107" s="132"/>
      <c r="HP107" s="132"/>
      <c r="HQ107" s="132"/>
      <c r="HR107" s="132"/>
      <c r="HS107" s="132"/>
      <c r="HT107" s="132"/>
      <c r="HU107" s="132"/>
      <c r="HV107" s="132"/>
      <c r="HW107" s="132"/>
      <c r="HX107" s="132"/>
      <c r="HY107" s="132"/>
      <c r="HZ107" s="132"/>
      <c r="IA107" s="132"/>
      <c r="IB107" s="132"/>
      <c r="IC107" s="132"/>
      <c r="ID107" s="132"/>
      <c r="IE107" s="132"/>
      <c r="IF107" s="132"/>
      <c r="IG107" s="132"/>
      <c r="IH107" s="132"/>
      <c r="II107" s="132"/>
      <c r="IJ107" s="132"/>
      <c r="IK107" s="132"/>
      <c r="IL107" s="132"/>
      <c r="IM107" s="132"/>
      <c r="IN107" s="132"/>
      <c r="IO107" s="132"/>
      <c r="IP107" s="132"/>
      <c r="IQ107" s="132"/>
      <c r="IR107" s="132"/>
      <c r="IS107" s="132"/>
      <c r="IT107" s="132"/>
      <c r="IU107" s="132"/>
      <c r="IV107" s="132"/>
    </row>
    <row r="108" spans="2:256" s="225" customFormat="1" ht="0" hidden="1" customHeight="1">
      <c r="B108" s="132"/>
      <c r="C108" s="132"/>
      <c r="D108" s="132"/>
      <c r="E108" s="132"/>
      <c r="F108" s="132"/>
      <c r="G108" s="132"/>
      <c r="H108" s="132"/>
      <c r="I108" s="132"/>
      <c r="J108" s="132"/>
      <c r="K108" s="132"/>
      <c r="L108" s="132"/>
      <c r="M108" s="132"/>
      <c r="N108" s="132"/>
      <c r="O108" s="132"/>
      <c r="P108" s="132"/>
      <c r="Q108" s="132"/>
      <c r="R108" s="132"/>
      <c r="S108" s="132"/>
      <c r="T108" s="132"/>
      <c r="U108" s="132"/>
      <c r="V108" s="132"/>
      <c r="W108" s="132"/>
      <c r="X108" s="132"/>
      <c r="Y108" s="132"/>
      <c r="Z108" s="132"/>
      <c r="AA108" s="132"/>
      <c r="AB108" s="132"/>
      <c r="AC108" s="132"/>
      <c r="AD108" s="132"/>
      <c r="AE108" s="132"/>
      <c r="AF108" s="132"/>
      <c r="AG108" s="132"/>
      <c r="AH108" s="132"/>
      <c r="AI108" s="132"/>
      <c r="AJ108" s="132"/>
      <c r="AK108" s="132"/>
      <c r="AL108" s="132"/>
      <c r="AM108" s="132"/>
      <c r="AN108" s="132"/>
      <c r="AO108" s="132"/>
      <c r="AP108" s="132"/>
      <c r="AQ108" s="132"/>
      <c r="AR108" s="132"/>
      <c r="AS108" s="132"/>
      <c r="AT108" s="132"/>
      <c r="AU108" s="132"/>
      <c r="AV108" s="132"/>
      <c r="AW108" s="132"/>
      <c r="AX108" s="132"/>
      <c r="AY108" s="132"/>
      <c r="AZ108" s="132"/>
      <c r="BA108" s="132"/>
      <c r="BB108" s="132"/>
      <c r="BC108" s="132"/>
      <c r="BD108" s="132"/>
      <c r="BE108" s="132"/>
      <c r="BF108" s="132"/>
      <c r="BG108" s="132"/>
      <c r="BH108" s="132"/>
      <c r="BI108" s="132"/>
      <c r="BJ108" s="132"/>
      <c r="BK108" s="132"/>
      <c r="BL108" s="132"/>
      <c r="BM108" s="132"/>
      <c r="BN108" s="132"/>
      <c r="BO108" s="132"/>
      <c r="BP108" s="132"/>
      <c r="BQ108" s="132"/>
      <c r="BR108" s="132"/>
      <c r="BS108" s="132"/>
      <c r="BT108" s="132"/>
      <c r="BU108" s="132"/>
      <c r="BV108" s="132"/>
      <c r="BW108" s="132"/>
      <c r="BX108" s="132"/>
      <c r="BY108" s="132"/>
      <c r="BZ108" s="132"/>
      <c r="CA108" s="132"/>
      <c r="CB108" s="132"/>
      <c r="CC108" s="132"/>
      <c r="CD108" s="132"/>
      <c r="CE108" s="132"/>
      <c r="CF108" s="132"/>
      <c r="CG108" s="132"/>
      <c r="CH108" s="132"/>
      <c r="CI108" s="132"/>
      <c r="CJ108" s="132"/>
      <c r="CK108" s="132"/>
      <c r="CL108" s="132"/>
      <c r="CM108" s="132"/>
      <c r="CN108" s="132"/>
      <c r="CO108" s="132"/>
      <c r="CP108" s="132"/>
      <c r="CQ108" s="132"/>
      <c r="CR108" s="132"/>
      <c r="CS108" s="132"/>
      <c r="CT108" s="132"/>
      <c r="CU108" s="132"/>
      <c r="CV108" s="132"/>
      <c r="CW108" s="132"/>
      <c r="CX108" s="132"/>
      <c r="CY108" s="132"/>
      <c r="CZ108" s="132"/>
      <c r="DA108" s="132"/>
      <c r="DB108" s="132"/>
      <c r="DC108" s="132"/>
      <c r="DD108" s="132"/>
      <c r="DE108" s="132"/>
      <c r="DF108" s="132"/>
      <c r="DG108" s="132"/>
      <c r="DH108" s="132"/>
      <c r="DI108" s="132"/>
      <c r="DJ108" s="132"/>
      <c r="DK108" s="132"/>
      <c r="DL108" s="132"/>
      <c r="DM108" s="132"/>
      <c r="DN108" s="132"/>
      <c r="DO108" s="132"/>
      <c r="DP108" s="132"/>
      <c r="DQ108" s="132"/>
      <c r="DR108" s="132"/>
      <c r="DS108" s="132"/>
      <c r="DT108" s="132"/>
      <c r="DU108" s="132"/>
      <c r="DV108" s="132"/>
      <c r="DW108" s="132"/>
      <c r="DX108" s="132"/>
      <c r="DY108" s="132"/>
      <c r="DZ108" s="132"/>
      <c r="EA108" s="132"/>
      <c r="EB108" s="132"/>
      <c r="EC108" s="132"/>
      <c r="ED108" s="132"/>
      <c r="EE108" s="132"/>
      <c r="EF108" s="132"/>
      <c r="EG108" s="132"/>
      <c r="EH108" s="132"/>
      <c r="EI108" s="132"/>
      <c r="EJ108" s="132"/>
      <c r="EK108" s="132"/>
      <c r="EL108" s="132"/>
      <c r="EM108" s="132"/>
      <c r="EN108" s="132"/>
      <c r="EO108" s="132"/>
      <c r="EP108" s="132"/>
      <c r="EQ108" s="132"/>
      <c r="ER108" s="132"/>
      <c r="ES108" s="132"/>
      <c r="ET108" s="132"/>
      <c r="EU108" s="132"/>
      <c r="EV108" s="132"/>
      <c r="EW108" s="132"/>
      <c r="EX108" s="132"/>
      <c r="EY108" s="132"/>
      <c r="EZ108" s="132"/>
      <c r="FA108" s="132"/>
      <c r="FB108" s="132"/>
      <c r="FC108" s="132"/>
      <c r="FD108" s="132"/>
      <c r="FE108" s="132"/>
      <c r="FF108" s="132"/>
      <c r="FG108" s="132"/>
      <c r="FH108" s="132"/>
      <c r="FI108" s="132"/>
      <c r="FJ108" s="132"/>
      <c r="FK108" s="132"/>
      <c r="FL108" s="132"/>
      <c r="FM108" s="132"/>
      <c r="FN108" s="132"/>
      <c r="FO108" s="132"/>
      <c r="FP108" s="132"/>
      <c r="FQ108" s="132"/>
      <c r="FR108" s="132"/>
      <c r="FS108" s="132"/>
      <c r="FT108" s="132"/>
      <c r="FU108" s="132"/>
      <c r="FV108" s="132"/>
      <c r="FW108" s="132"/>
      <c r="FX108" s="132"/>
      <c r="FY108" s="132"/>
      <c r="FZ108" s="132"/>
      <c r="GA108" s="132"/>
      <c r="GB108" s="132"/>
      <c r="GC108" s="132"/>
      <c r="GD108" s="132"/>
      <c r="GE108" s="132"/>
      <c r="GF108" s="132"/>
      <c r="GG108" s="132"/>
      <c r="GH108" s="132"/>
      <c r="GI108" s="132"/>
      <c r="GJ108" s="132"/>
      <c r="GK108" s="132"/>
      <c r="GL108" s="132"/>
      <c r="GM108" s="132"/>
      <c r="GN108" s="132"/>
      <c r="GO108" s="132"/>
      <c r="GP108" s="132"/>
      <c r="GQ108" s="132"/>
      <c r="GR108" s="132"/>
      <c r="GS108" s="132"/>
      <c r="GT108" s="132"/>
      <c r="GU108" s="132"/>
      <c r="GV108" s="132"/>
      <c r="GW108" s="132"/>
      <c r="GX108" s="132"/>
      <c r="GY108" s="132"/>
      <c r="GZ108" s="132"/>
      <c r="HA108" s="132"/>
      <c r="HB108" s="132"/>
      <c r="HC108" s="132"/>
      <c r="HD108" s="132"/>
      <c r="HE108" s="132"/>
      <c r="HF108" s="132"/>
      <c r="HG108" s="132"/>
      <c r="HH108" s="132"/>
      <c r="HI108" s="132"/>
      <c r="HJ108" s="132"/>
      <c r="HK108" s="132"/>
      <c r="HL108" s="132"/>
      <c r="HM108" s="132"/>
      <c r="HN108" s="132"/>
      <c r="HO108" s="132"/>
      <c r="HP108" s="132"/>
      <c r="HQ108" s="132"/>
      <c r="HR108" s="132"/>
      <c r="HS108" s="132"/>
      <c r="HT108" s="132"/>
      <c r="HU108" s="132"/>
      <c r="HV108" s="132"/>
      <c r="HW108" s="132"/>
      <c r="HX108" s="132"/>
      <c r="HY108" s="132"/>
      <c r="HZ108" s="132"/>
      <c r="IA108" s="132"/>
      <c r="IB108" s="132"/>
      <c r="IC108" s="132"/>
      <c r="ID108" s="132"/>
      <c r="IE108" s="132"/>
      <c r="IF108" s="132"/>
      <c r="IG108" s="132"/>
      <c r="IH108" s="132"/>
      <c r="II108" s="132"/>
      <c r="IJ108" s="132"/>
      <c r="IK108" s="132"/>
      <c r="IL108" s="132"/>
      <c r="IM108" s="132"/>
      <c r="IN108" s="132"/>
      <c r="IO108" s="132"/>
      <c r="IP108" s="132"/>
      <c r="IQ108" s="132"/>
      <c r="IR108" s="132"/>
      <c r="IS108" s="132"/>
      <c r="IT108" s="132"/>
      <c r="IU108" s="132"/>
      <c r="IV108" s="132"/>
    </row>
  </sheetData>
  <sheetProtection algorithmName="SHA-512" hashValue="3AoPcMmSRnYFTU4ZjHWp7nlscj4xCq2LEpxOTbgiLwnaWzBsgU9Tp4GULqmXt/G2bDk2POMxgIrJZPvXqOITLg==" saltValue="HgviNtFqYtU8PJ88ApSczA==" spinCount="100000" sheet="1" objects="1" scenarios="1"/>
  <mergeCells count="62">
    <mergeCell ref="BJ1:BS1"/>
    <mergeCell ref="A1:G1"/>
    <mergeCell ref="V1:AE1"/>
    <mergeCell ref="AF1:AO1"/>
    <mergeCell ref="AP1:AY1"/>
    <mergeCell ref="AZ1:BI1"/>
    <mergeCell ref="FZ1:GI1"/>
    <mergeCell ref="BT1:CC1"/>
    <mergeCell ref="CD1:CM1"/>
    <mergeCell ref="CN1:CW1"/>
    <mergeCell ref="CX1:DG1"/>
    <mergeCell ref="DH1:DQ1"/>
    <mergeCell ref="DR1:EA1"/>
    <mergeCell ref="EB1:EK1"/>
    <mergeCell ref="EL1:EU1"/>
    <mergeCell ref="EV1:FE1"/>
    <mergeCell ref="FF1:FO1"/>
    <mergeCell ref="FP1:FY1"/>
    <mergeCell ref="IR1:IV1"/>
    <mergeCell ref="A2:G2"/>
    <mergeCell ref="V2:AE2"/>
    <mergeCell ref="AF2:AO2"/>
    <mergeCell ref="AP2:AY2"/>
    <mergeCell ref="AZ2:BI2"/>
    <mergeCell ref="BJ2:BS2"/>
    <mergeCell ref="BT2:CC2"/>
    <mergeCell ref="CD2:CM2"/>
    <mergeCell ref="CN2:CW2"/>
    <mergeCell ref="GJ1:GS1"/>
    <mergeCell ref="GT1:HC1"/>
    <mergeCell ref="HD1:HM1"/>
    <mergeCell ref="HN1:HW1"/>
    <mergeCell ref="HX1:IG1"/>
    <mergeCell ref="IH1:IQ1"/>
    <mergeCell ref="HX2:IG2"/>
    <mergeCell ref="IH2:IQ2"/>
    <mergeCell ref="IR2:IV2"/>
    <mergeCell ref="B6:L6"/>
    <mergeCell ref="B8:L8"/>
    <mergeCell ref="FF2:FO2"/>
    <mergeCell ref="FP2:FY2"/>
    <mergeCell ref="FZ2:GI2"/>
    <mergeCell ref="GJ2:GS2"/>
    <mergeCell ref="GT2:HC2"/>
    <mergeCell ref="HD2:HM2"/>
    <mergeCell ref="CX2:DG2"/>
    <mergeCell ref="DH2:DQ2"/>
    <mergeCell ref="DR2:EA2"/>
    <mergeCell ref="EB2:EK2"/>
    <mergeCell ref="EL2:EU2"/>
    <mergeCell ref="B9:L9"/>
    <mergeCell ref="B15:L15"/>
    <mergeCell ref="B16:C16"/>
    <mergeCell ref="B18:K18"/>
    <mergeCell ref="HN2:HW2"/>
    <mergeCell ref="EV2:FE2"/>
    <mergeCell ref="D89:F89"/>
    <mergeCell ref="G89:I89"/>
    <mergeCell ref="A20:D21"/>
    <mergeCell ref="A23:K24"/>
    <mergeCell ref="A36:K37"/>
    <mergeCell ref="A39:K41"/>
  </mergeCells>
  <pageMargins left="0" right="0" top="0.25" bottom="0.25" header="0.3" footer="0.3"/>
  <pageSetup scale="53" fitToHeight="4" orientation="portrait" r:id="rId1"/>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C25BF-07D3-4AD2-A7D2-A406E1890D60}">
  <sheetPr codeName="Sheet29">
    <tabColor theme="8"/>
  </sheetPr>
  <dimension ref="A1:IV101"/>
  <sheetViews>
    <sheetView showGridLines="0" zoomScaleNormal="100" workbookViewId="0">
      <selection sqref="A1:G1"/>
    </sheetView>
  </sheetViews>
  <sheetFormatPr defaultColWidth="0" defaultRowHeight="0" customHeight="1" zeroHeight="1"/>
  <cols>
    <col min="1" max="1" width="4.54296875" style="225" customWidth="1"/>
    <col min="2" max="3" width="11.453125" style="132" customWidth="1"/>
    <col min="4" max="4" width="18.81640625" style="132" customWidth="1"/>
    <col min="5" max="5" width="15.26953125" style="132" customWidth="1"/>
    <col min="6" max="7" width="13.81640625" style="132" customWidth="1"/>
    <col min="8" max="11" width="11.453125" style="132" customWidth="1"/>
    <col min="12" max="12" width="17.1796875" style="132" customWidth="1"/>
    <col min="13" max="16384" width="0" style="132" hidden="1"/>
  </cols>
  <sheetData>
    <row r="1" spans="1:256" s="598" customFormat="1" ht="60" customHeight="1">
      <c r="A1" s="1108" t="str">
        <f>'Customer Information'!A1</f>
        <v>2025 Commercial Efficiency Program</v>
      </c>
      <c r="B1" s="1108"/>
      <c r="C1" s="1108"/>
      <c r="D1" s="1108"/>
      <c r="E1" s="1108"/>
      <c r="F1" s="1108"/>
      <c r="G1" s="1108"/>
      <c r="H1" s="715"/>
      <c r="I1" s="12"/>
      <c r="J1" s="12"/>
      <c r="K1" s="12"/>
      <c r="L1" s="12"/>
      <c r="M1" s="596"/>
      <c r="N1" s="596"/>
      <c r="O1" s="596"/>
      <c r="P1" s="596"/>
      <c r="Q1" s="596"/>
      <c r="R1" s="596"/>
      <c r="S1" s="596"/>
      <c r="V1" s="1139"/>
      <c r="W1" s="1139"/>
      <c r="X1" s="1139"/>
      <c r="Y1" s="1139"/>
      <c r="Z1" s="1139"/>
      <c r="AA1" s="1139"/>
      <c r="AB1" s="1139"/>
      <c r="AC1" s="1139"/>
      <c r="AD1" s="1139"/>
      <c r="AE1" s="1139"/>
      <c r="AF1" s="1139"/>
      <c r="AG1" s="1139"/>
      <c r="AH1" s="1139"/>
      <c r="AI1" s="1139"/>
      <c r="AJ1" s="1139"/>
      <c r="AK1" s="1139"/>
      <c r="AL1" s="1139"/>
      <c r="AM1" s="1139"/>
      <c r="AN1" s="1139"/>
      <c r="AO1" s="1139"/>
      <c r="AP1" s="1139"/>
      <c r="AQ1" s="1139"/>
      <c r="AR1" s="1139"/>
      <c r="AS1" s="1139"/>
      <c r="AT1" s="1139"/>
      <c r="AU1" s="1139"/>
      <c r="AV1" s="1139"/>
      <c r="AW1" s="1139"/>
      <c r="AX1" s="1139"/>
      <c r="AY1" s="1139"/>
      <c r="AZ1" s="1139"/>
      <c r="BA1" s="1139"/>
      <c r="BB1" s="1139"/>
      <c r="BC1" s="1139"/>
      <c r="BD1" s="1139"/>
      <c r="BE1" s="1139"/>
      <c r="BF1" s="1139"/>
      <c r="BG1" s="1139"/>
      <c r="BH1" s="1139"/>
      <c r="BI1" s="1139"/>
      <c r="BJ1" s="1139"/>
      <c r="BK1" s="1139"/>
      <c r="BL1" s="1139"/>
      <c r="BM1" s="1139"/>
      <c r="BN1" s="1139"/>
      <c r="BO1" s="1139"/>
      <c r="BP1" s="1139"/>
      <c r="BQ1" s="1139"/>
      <c r="BR1" s="1139"/>
      <c r="BS1" s="1139"/>
      <c r="BT1" s="1139"/>
      <c r="BU1" s="1139"/>
      <c r="BV1" s="1139"/>
      <c r="BW1" s="1139"/>
      <c r="BX1" s="1139"/>
      <c r="BY1" s="1139"/>
      <c r="BZ1" s="1139"/>
      <c r="CA1" s="1139"/>
      <c r="CB1" s="1139"/>
      <c r="CC1" s="1139"/>
      <c r="CD1" s="1139"/>
      <c r="CE1" s="1139"/>
      <c r="CF1" s="1139"/>
      <c r="CG1" s="1139"/>
      <c r="CH1" s="1139"/>
      <c r="CI1" s="1139"/>
      <c r="CJ1" s="1139"/>
      <c r="CK1" s="1139"/>
      <c r="CL1" s="1139"/>
      <c r="CM1" s="1139"/>
      <c r="CN1" s="1139"/>
      <c r="CO1" s="1139"/>
      <c r="CP1" s="1139"/>
      <c r="CQ1" s="1139"/>
      <c r="CR1" s="1139"/>
      <c r="CS1" s="1139"/>
      <c r="CT1" s="1139"/>
      <c r="CU1" s="1139"/>
      <c r="CV1" s="1139"/>
      <c r="CW1" s="1139"/>
      <c r="CX1" s="1139"/>
      <c r="CY1" s="1139"/>
      <c r="CZ1" s="1139"/>
      <c r="DA1" s="1139"/>
      <c r="DB1" s="1139"/>
      <c r="DC1" s="1139"/>
      <c r="DD1" s="1139"/>
      <c r="DE1" s="1139"/>
      <c r="DF1" s="1139"/>
      <c r="DG1" s="1139"/>
      <c r="DH1" s="1139"/>
      <c r="DI1" s="1139"/>
      <c r="DJ1" s="1139"/>
      <c r="DK1" s="1139"/>
      <c r="DL1" s="1139"/>
      <c r="DM1" s="1139"/>
      <c r="DN1" s="1139"/>
      <c r="DO1" s="1139"/>
      <c r="DP1" s="1139"/>
      <c r="DQ1" s="1139"/>
      <c r="DR1" s="1139"/>
      <c r="DS1" s="1139"/>
      <c r="DT1" s="1139"/>
      <c r="DU1" s="1139"/>
      <c r="DV1" s="1139"/>
      <c r="DW1" s="1139"/>
      <c r="DX1" s="1139"/>
      <c r="DY1" s="1139"/>
      <c r="DZ1" s="1139"/>
      <c r="EA1" s="1139"/>
      <c r="EB1" s="1139"/>
      <c r="EC1" s="1139"/>
      <c r="ED1" s="1139"/>
      <c r="EE1" s="1139"/>
      <c r="EF1" s="1139"/>
      <c r="EG1" s="1139"/>
      <c r="EH1" s="1139"/>
      <c r="EI1" s="1139"/>
      <c r="EJ1" s="1139"/>
      <c r="EK1" s="1139"/>
      <c r="EL1" s="1139"/>
      <c r="EM1" s="1139"/>
      <c r="EN1" s="1139"/>
      <c r="EO1" s="1139"/>
      <c r="EP1" s="1139"/>
      <c r="EQ1" s="1139"/>
      <c r="ER1" s="1139"/>
      <c r="ES1" s="1139"/>
      <c r="ET1" s="1139"/>
      <c r="EU1" s="1139"/>
      <c r="EV1" s="1139"/>
      <c r="EW1" s="1139"/>
      <c r="EX1" s="1139"/>
      <c r="EY1" s="1139"/>
      <c r="EZ1" s="1139"/>
      <c r="FA1" s="1139"/>
      <c r="FB1" s="1139"/>
      <c r="FC1" s="1139"/>
      <c r="FD1" s="1139"/>
      <c r="FE1" s="1139"/>
      <c r="FF1" s="1139"/>
      <c r="FG1" s="1139"/>
      <c r="FH1" s="1139"/>
      <c r="FI1" s="1139"/>
      <c r="FJ1" s="1139"/>
      <c r="FK1" s="1139"/>
      <c r="FL1" s="1139"/>
      <c r="FM1" s="1139"/>
      <c r="FN1" s="1139"/>
      <c r="FO1" s="1139"/>
      <c r="FP1" s="1139"/>
      <c r="FQ1" s="1139"/>
      <c r="FR1" s="1139"/>
      <c r="FS1" s="1139"/>
      <c r="FT1" s="1139"/>
      <c r="FU1" s="1139"/>
      <c r="FV1" s="1139"/>
      <c r="FW1" s="1139"/>
      <c r="FX1" s="1139"/>
      <c r="FY1" s="1139"/>
      <c r="FZ1" s="1139"/>
      <c r="GA1" s="1139"/>
      <c r="GB1" s="1139"/>
      <c r="GC1" s="1139"/>
      <c r="GD1" s="1139"/>
      <c r="GE1" s="1139"/>
      <c r="GF1" s="1139"/>
      <c r="GG1" s="1139"/>
      <c r="GH1" s="1139"/>
      <c r="GI1" s="1139"/>
      <c r="GJ1" s="1139"/>
      <c r="GK1" s="1139"/>
      <c r="GL1" s="1139"/>
      <c r="GM1" s="1139"/>
      <c r="GN1" s="1139"/>
      <c r="GO1" s="1139"/>
      <c r="GP1" s="1139"/>
      <c r="GQ1" s="1139"/>
      <c r="GR1" s="1139"/>
      <c r="GS1" s="1139"/>
      <c r="GT1" s="1139"/>
      <c r="GU1" s="1139"/>
      <c r="GV1" s="1139"/>
      <c r="GW1" s="1139"/>
      <c r="GX1" s="1139"/>
      <c r="GY1" s="1139"/>
      <c r="GZ1" s="1139"/>
      <c r="HA1" s="1139"/>
      <c r="HB1" s="1139"/>
      <c r="HC1" s="1139"/>
      <c r="HD1" s="1139"/>
      <c r="HE1" s="1139"/>
      <c r="HF1" s="1139"/>
      <c r="HG1" s="1139"/>
      <c r="HH1" s="1139"/>
      <c r="HI1" s="1139"/>
      <c r="HJ1" s="1139"/>
      <c r="HK1" s="1139"/>
      <c r="HL1" s="1139"/>
      <c r="HM1" s="1139"/>
      <c r="HN1" s="1139"/>
      <c r="HO1" s="1139"/>
      <c r="HP1" s="1139"/>
      <c r="HQ1" s="1139"/>
      <c r="HR1" s="1139"/>
      <c r="HS1" s="1139"/>
      <c r="HT1" s="1139"/>
      <c r="HU1" s="1139"/>
      <c r="HV1" s="1139"/>
      <c r="HW1" s="1139"/>
      <c r="HX1" s="1139"/>
      <c r="HY1" s="1139"/>
      <c r="HZ1" s="1139"/>
      <c r="IA1" s="1139"/>
      <c r="IB1" s="1139"/>
      <c r="IC1" s="1139"/>
      <c r="ID1" s="1139"/>
      <c r="IE1" s="1139"/>
      <c r="IF1" s="1139"/>
      <c r="IG1" s="1139"/>
      <c r="IH1" s="1139"/>
      <c r="II1" s="1139"/>
      <c r="IJ1" s="1139"/>
      <c r="IK1" s="1139"/>
      <c r="IL1" s="1139"/>
      <c r="IM1" s="1139"/>
      <c r="IN1" s="1139"/>
      <c r="IO1" s="1139"/>
      <c r="IP1" s="1139"/>
      <c r="IQ1" s="1139"/>
      <c r="IR1" s="1139"/>
      <c r="IS1" s="1139"/>
      <c r="IT1" s="1139"/>
      <c r="IU1" s="1139"/>
      <c r="IV1" s="1139"/>
    </row>
    <row r="2" spans="1:256" s="598" customFormat="1" ht="60" customHeight="1">
      <c r="A2" s="1110" t="str">
        <f>'Customer Information'!A2:H2</f>
        <v>Commercial Weatherization Rebate Application, Version 1.0</v>
      </c>
      <c r="B2" s="1110"/>
      <c r="C2" s="1110"/>
      <c r="D2" s="1110"/>
      <c r="E2" s="1110"/>
      <c r="F2" s="1110"/>
      <c r="G2" s="1110"/>
      <c r="H2" s="735"/>
      <c r="I2" s="716"/>
      <c r="J2" s="716"/>
      <c r="K2" s="716"/>
      <c r="L2" s="716"/>
      <c r="M2" s="597"/>
      <c r="N2" s="597"/>
      <c r="O2" s="597"/>
      <c r="P2" s="597"/>
      <c r="Q2" s="597"/>
      <c r="R2" s="597"/>
      <c r="S2" s="597"/>
      <c r="T2" s="599"/>
      <c r="U2" s="599"/>
      <c r="V2" s="1138"/>
      <c r="W2" s="1138"/>
      <c r="X2" s="1138"/>
      <c r="Y2" s="1138"/>
      <c r="Z2" s="1138"/>
      <c r="AA2" s="1138"/>
      <c r="AB2" s="1138"/>
      <c r="AC2" s="1138"/>
      <c r="AD2" s="1138"/>
      <c r="AE2" s="1138"/>
      <c r="AF2" s="1138"/>
      <c r="AG2" s="1138"/>
      <c r="AH2" s="1138"/>
      <c r="AI2" s="1138"/>
      <c r="AJ2" s="1138"/>
      <c r="AK2" s="1138"/>
      <c r="AL2" s="1138"/>
      <c r="AM2" s="1138"/>
      <c r="AN2" s="1138"/>
      <c r="AO2" s="1138"/>
      <c r="AP2" s="1138"/>
      <c r="AQ2" s="1138"/>
      <c r="AR2" s="1138"/>
      <c r="AS2" s="1138"/>
      <c r="AT2" s="1138"/>
      <c r="AU2" s="1138"/>
      <c r="AV2" s="1138"/>
      <c r="AW2" s="1138"/>
      <c r="AX2" s="1138"/>
      <c r="AY2" s="1138"/>
      <c r="AZ2" s="1138"/>
      <c r="BA2" s="1138"/>
      <c r="BB2" s="1138"/>
      <c r="BC2" s="1138"/>
      <c r="BD2" s="1138"/>
      <c r="BE2" s="1138"/>
      <c r="BF2" s="1138"/>
      <c r="BG2" s="1138"/>
      <c r="BH2" s="1138"/>
      <c r="BI2" s="1138"/>
      <c r="BJ2" s="1138"/>
      <c r="BK2" s="1138"/>
      <c r="BL2" s="1138"/>
      <c r="BM2" s="1138"/>
      <c r="BN2" s="1138"/>
      <c r="BO2" s="1138"/>
      <c r="BP2" s="1138"/>
      <c r="BQ2" s="1138"/>
      <c r="BR2" s="1138"/>
      <c r="BS2" s="1138"/>
      <c r="BT2" s="1138"/>
      <c r="BU2" s="1138"/>
      <c r="BV2" s="1138"/>
      <c r="BW2" s="1138"/>
      <c r="BX2" s="1138"/>
      <c r="BY2" s="1138"/>
      <c r="BZ2" s="1138"/>
      <c r="CA2" s="1138"/>
      <c r="CB2" s="1138"/>
      <c r="CC2" s="1138"/>
      <c r="CD2" s="1138"/>
      <c r="CE2" s="1138"/>
      <c r="CF2" s="1138"/>
      <c r="CG2" s="1138"/>
      <c r="CH2" s="1138"/>
      <c r="CI2" s="1138"/>
      <c r="CJ2" s="1138"/>
      <c r="CK2" s="1138"/>
      <c r="CL2" s="1138"/>
      <c r="CM2" s="1138"/>
      <c r="CN2" s="1138"/>
      <c r="CO2" s="1138"/>
      <c r="CP2" s="1138"/>
      <c r="CQ2" s="1138"/>
      <c r="CR2" s="1138"/>
      <c r="CS2" s="1138"/>
      <c r="CT2" s="1138"/>
      <c r="CU2" s="1138"/>
      <c r="CV2" s="1138"/>
      <c r="CW2" s="1138"/>
      <c r="CX2" s="1138"/>
      <c r="CY2" s="1138"/>
      <c r="CZ2" s="1138"/>
      <c r="DA2" s="1138"/>
      <c r="DB2" s="1138"/>
      <c r="DC2" s="1138"/>
      <c r="DD2" s="1138"/>
      <c r="DE2" s="1138"/>
      <c r="DF2" s="1138"/>
      <c r="DG2" s="1138"/>
      <c r="DH2" s="1138"/>
      <c r="DI2" s="1138"/>
      <c r="DJ2" s="1138"/>
      <c r="DK2" s="1138"/>
      <c r="DL2" s="1138"/>
      <c r="DM2" s="1138"/>
      <c r="DN2" s="1138"/>
      <c r="DO2" s="1138"/>
      <c r="DP2" s="1138"/>
      <c r="DQ2" s="1138"/>
      <c r="DR2" s="1138"/>
      <c r="DS2" s="1138"/>
      <c r="DT2" s="1138"/>
      <c r="DU2" s="1138"/>
      <c r="DV2" s="1138"/>
      <c r="DW2" s="1138"/>
      <c r="DX2" s="1138"/>
      <c r="DY2" s="1138"/>
      <c r="DZ2" s="1138"/>
      <c r="EA2" s="1138"/>
      <c r="EB2" s="1138"/>
      <c r="EC2" s="1138"/>
      <c r="ED2" s="1138"/>
      <c r="EE2" s="1138"/>
      <c r="EF2" s="1138"/>
      <c r="EG2" s="1138"/>
      <c r="EH2" s="1138"/>
      <c r="EI2" s="1138"/>
      <c r="EJ2" s="1138"/>
      <c r="EK2" s="1138"/>
      <c r="EL2" s="1138"/>
      <c r="EM2" s="1138"/>
      <c r="EN2" s="1138"/>
      <c r="EO2" s="1138"/>
      <c r="EP2" s="1138"/>
      <c r="EQ2" s="1138"/>
      <c r="ER2" s="1138"/>
      <c r="ES2" s="1138"/>
      <c r="ET2" s="1138"/>
      <c r="EU2" s="1138"/>
      <c r="EV2" s="1138"/>
      <c r="EW2" s="1138"/>
      <c r="EX2" s="1138"/>
      <c r="EY2" s="1138"/>
      <c r="EZ2" s="1138"/>
      <c r="FA2" s="1138"/>
      <c r="FB2" s="1138"/>
      <c r="FC2" s="1138"/>
      <c r="FD2" s="1138"/>
      <c r="FE2" s="1138"/>
      <c r="FF2" s="1138"/>
      <c r="FG2" s="1138"/>
      <c r="FH2" s="1138"/>
      <c r="FI2" s="1138"/>
      <c r="FJ2" s="1138"/>
      <c r="FK2" s="1138"/>
      <c r="FL2" s="1138"/>
      <c r="FM2" s="1138"/>
      <c r="FN2" s="1138"/>
      <c r="FO2" s="1138"/>
      <c r="FP2" s="1138"/>
      <c r="FQ2" s="1138"/>
      <c r="FR2" s="1138"/>
      <c r="FS2" s="1138"/>
      <c r="FT2" s="1138"/>
      <c r="FU2" s="1138"/>
      <c r="FV2" s="1138"/>
      <c r="FW2" s="1138"/>
      <c r="FX2" s="1138"/>
      <c r="FY2" s="1138"/>
      <c r="FZ2" s="1138"/>
      <c r="GA2" s="1138"/>
      <c r="GB2" s="1138"/>
      <c r="GC2" s="1138"/>
      <c r="GD2" s="1138"/>
      <c r="GE2" s="1138"/>
      <c r="GF2" s="1138"/>
      <c r="GG2" s="1138"/>
      <c r="GH2" s="1138"/>
      <c r="GI2" s="1138"/>
      <c r="GJ2" s="1138"/>
      <c r="GK2" s="1138"/>
      <c r="GL2" s="1138"/>
      <c r="GM2" s="1138"/>
      <c r="GN2" s="1138"/>
      <c r="GO2" s="1138"/>
      <c r="GP2" s="1138"/>
      <c r="GQ2" s="1138"/>
      <c r="GR2" s="1138"/>
      <c r="GS2" s="1138"/>
      <c r="GT2" s="1138"/>
      <c r="GU2" s="1138"/>
      <c r="GV2" s="1138"/>
      <c r="GW2" s="1138"/>
      <c r="GX2" s="1138"/>
      <c r="GY2" s="1138"/>
      <c r="GZ2" s="1138"/>
      <c r="HA2" s="1138"/>
      <c r="HB2" s="1138"/>
      <c r="HC2" s="1138"/>
      <c r="HD2" s="1138"/>
      <c r="HE2" s="1138"/>
      <c r="HF2" s="1138"/>
      <c r="HG2" s="1138"/>
      <c r="HH2" s="1138"/>
      <c r="HI2" s="1138"/>
      <c r="HJ2" s="1138"/>
      <c r="HK2" s="1138"/>
      <c r="HL2" s="1138"/>
      <c r="HM2" s="1138"/>
      <c r="HN2" s="1138"/>
      <c r="HO2" s="1138"/>
      <c r="HP2" s="1138"/>
      <c r="HQ2" s="1138"/>
      <c r="HR2" s="1138"/>
      <c r="HS2" s="1138"/>
      <c r="HT2" s="1138"/>
      <c r="HU2" s="1138"/>
      <c r="HV2" s="1138"/>
      <c r="HW2" s="1138"/>
      <c r="HX2" s="1138"/>
      <c r="HY2" s="1138"/>
      <c r="HZ2" s="1138"/>
      <c r="IA2" s="1138"/>
      <c r="IB2" s="1138"/>
      <c r="IC2" s="1138"/>
      <c r="ID2" s="1138"/>
      <c r="IE2" s="1138"/>
      <c r="IF2" s="1138"/>
      <c r="IG2" s="1138"/>
      <c r="IH2" s="1138"/>
      <c r="II2" s="1138"/>
      <c r="IJ2" s="1138"/>
      <c r="IK2" s="1138"/>
      <c r="IL2" s="1138"/>
      <c r="IM2" s="1138"/>
      <c r="IN2" s="1138"/>
      <c r="IO2" s="1138"/>
      <c r="IP2" s="1138"/>
      <c r="IQ2" s="1138"/>
      <c r="IR2" s="1138"/>
      <c r="IS2" s="1138"/>
      <c r="IT2" s="1138"/>
      <c r="IU2" s="1138"/>
      <c r="IV2" s="1138"/>
    </row>
    <row r="3" spans="1:256" s="602" customFormat="1" ht="18.5" hidden="1" thickBot="1">
      <c r="A3" s="600" t="s">
        <v>787</v>
      </c>
      <c r="B3" s="600"/>
      <c r="C3" s="595"/>
      <c r="D3" s="595"/>
      <c r="E3" s="595"/>
      <c r="F3" s="595"/>
      <c r="G3" s="595"/>
      <c r="H3" s="595"/>
      <c r="I3" s="595"/>
      <c r="J3" s="595"/>
      <c r="K3" s="595"/>
      <c r="L3" s="595"/>
      <c r="M3" s="601"/>
      <c r="N3" s="601"/>
      <c r="O3" s="601"/>
    </row>
    <row r="4" spans="1:256" s="605" customFormat="1" ht="14.5" hidden="1">
      <c r="A4" s="603"/>
      <c r="B4" s="604"/>
      <c r="C4" s="604"/>
      <c r="D4" s="604"/>
      <c r="E4" s="604"/>
      <c r="F4" s="604"/>
      <c r="G4" s="604"/>
      <c r="H4" s="604"/>
      <c r="I4" s="604"/>
      <c r="J4" s="604"/>
      <c r="K4" s="604"/>
      <c r="L4" s="604"/>
      <c r="M4" s="559"/>
      <c r="N4" s="559"/>
      <c r="O4" s="559"/>
    </row>
    <row r="5" spans="1:256" s="605" customFormat="1" ht="14.5" hidden="1">
      <c r="A5" s="603"/>
      <c r="B5" s="604"/>
      <c r="C5" s="604"/>
      <c r="D5" s="604"/>
      <c r="E5" s="604"/>
      <c r="F5" s="604"/>
      <c r="G5" s="604"/>
      <c r="H5" s="604"/>
      <c r="I5" s="604"/>
      <c r="J5" s="604"/>
      <c r="K5" s="604"/>
      <c r="L5" s="604"/>
      <c r="M5" s="559"/>
      <c r="N5" s="559"/>
      <c r="O5" s="559"/>
    </row>
    <row r="6" spans="1:256" s="605" customFormat="1" ht="16.5" hidden="1" customHeight="1">
      <c r="A6" s="603"/>
      <c r="B6" s="1135"/>
      <c r="C6" s="1135"/>
      <c r="D6" s="1135"/>
      <c r="E6" s="1135"/>
      <c r="F6" s="1135"/>
      <c r="G6" s="1135"/>
      <c r="H6" s="1135"/>
      <c r="I6" s="1135"/>
      <c r="J6" s="1135"/>
      <c r="K6" s="1135"/>
      <c r="L6" s="1135"/>
      <c r="M6" s="559"/>
      <c r="N6" s="559"/>
      <c r="O6" s="559"/>
    </row>
    <row r="7" spans="1:256" s="598" customFormat="1" ht="17.149999999999999" hidden="1" customHeight="1">
      <c r="A7" s="606"/>
      <c r="B7" s="604"/>
      <c r="M7" s="559"/>
      <c r="N7" s="559"/>
      <c r="O7" s="559"/>
    </row>
    <row r="8" spans="1:256" s="608" customFormat="1" ht="16.5" hidden="1" customHeight="1">
      <c r="A8" s="607"/>
      <c r="B8" s="1135"/>
      <c r="C8" s="1135"/>
      <c r="D8" s="1135"/>
      <c r="E8" s="1135"/>
      <c r="F8" s="1135"/>
      <c r="G8" s="1135"/>
      <c r="H8" s="1135"/>
      <c r="I8" s="1135"/>
      <c r="J8" s="1135"/>
      <c r="K8" s="1135"/>
      <c r="L8" s="1135"/>
      <c r="M8" s="559"/>
      <c r="N8" s="559"/>
      <c r="O8" s="559"/>
    </row>
    <row r="9" spans="1:256" s="605" customFormat="1" ht="18.649999999999999" hidden="1" customHeight="1">
      <c r="A9" s="603"/>
      <c r="B9" s="1133"/>
      <c r="C9" s="1134"/>
      <c r="D9" s="1134"/>
      <c r="E9" s="1134"/>
      <c r="F9" s="1134"/>
      <c r="G9" s="1134"/>
      <c r="H9" s="1134"/>
      <c r="I9" s="1134"/>
      <c r="J9" s="1134"/>
      <c r="K9" s="1134"/>
      <c r="L9" s="1134"/>
      <c r="M9" s="559"/>
      <c r="N9" s="559"/>
      <c r="O9" s="559"/>
    </row>
    <row r="10" spans="1:256" s="605" customFormat="1" ht="18.649999999999999" hidden="1" customHeight="1">
      <c r="A10" s="607"/>
      <c r="B10" s="609"/>
      <c r="C10" s="604"/>
      <c r="D10" s="604"/>
      <c r="E10" s="604"/>
      <c r="F10" s="604"/>
      <c r="G10" s="604"/>
      <c r="H10" s="604"/>
      <c r="I10" s="604"/>
      <c r="J10" s="604"/>
      <c r="K10" s="604"/>
      <c r="L10" s="604"/>
      <c r="M10" s="559"/>
      <c r="N10" s="559"/>
      <c r="O10" s="559"/>
    </row>
    <row r="11" spans="1:256" s="605" customFormat="1" ht="27.65" hidden="1" customHeight="1" thickBot="1">
      <c r="A11" s="600" t="s">
        <v>785</v>
      </c>
      <c r="B11" s="600"/>
      <c r="C11" s="595"/>
      <c r="D11" s="595"/>
      <c r="E11" s="595"/>
      <c r="F11" s="595"/>
      <c r="G11" s="595"/>
      <c r="H11" s="595"/>
      <c r="I11" s="595"/>
      <c r="J11" s="595"/>
      <c r="K11" s="595"/>
      <c r="L11" s="595"/>
      <c r="M11" s="559"/>
      <c r="N11" s="559"/>
      <c r="O11" s="559"/>
    </row>
    <row r="12" spans="1:256" s="608" customFormat="1" ht="18.649999999999999" hidden="1" customHeight="1">
      <c r="A12" s="603"/>
      <c r="B12" s="604"/>
      <c r="C12" s="610"/>
      <c r="D12" s="610"/>
      <c r="E12" s="610"/>
      <c r="F12" s="610"/>
      <c r="G12" s="610"/>
      <c r="H12" s="610"/>
      <c r="I12" s="610"/>
      <c r="J12" s="610"/>
      <c r="K12" s="610"/>
      <c r="L12" s="610"/>
      <c r="M12" s="559"/>
      <c r="N12" s="559"/>
      <c r="O12" s="559"/>
    </row>
    <row r="13" spans="1:256" s="608" customFormat="1" ht="18.649999999999999" hidden="1" customHeight="1">
      <c r="A13" s="603"/>
      <c r="B13" s="604"/>
      <c r="C13" s="610"/>
      <c r="D13" s="610"/>
      <c r="E13" s="610"/>
      <c r="F13" s="610"/>
      <c r="G13" s="610"/>
      <c r="H13" s="610"/>
      <c r="I13" s="610"/>
      <c r="J13" s="610"/>
      <c r="K13" s="610"/>
      <c r="L13" s="610"/>
      <c r="M13" s="559"/>
      <c r="N13" s="559"/>
      <c r="O13" s="559"/>
    </row>
    <row r="14" spans="1:256" s="608" customFormat="1" ht="19.5" hidden="1" customHeight="1">
      <c r="A14" s="603"/>
      <c r="B14" s="604"/>
      <c r="C14" s="610"/>
      <c r="D14" s="610"/>
      <c r="E14" s="610"/>
      <c r="F14" s="610"/>
      <c r="G14" s="610"/>
      <c r="H14" s="610"/>
      <c r="I14" s="610"/>
      <c r="J14" s="610"/>
      <c r="K14" s="610"/>
      <c r="L14" s="610"/>
      <c r="M14" s="559"/>
      <c r="N14" s="559"/>
      <c r="O14" s="559"/>
    </row>
    <row r="15" spans="1:256" s="605" customFormat="1" ht="15.65" hidden="1" customHeight="1">
      <c r="A15" s="607"/>
      <c r="B15" s="1135"/>
      <c r="C15" s="1135"/>
      <c r="D15" s="1135"/>
      <c r="E15" s="1135"/>
      <c r="F15" s="1135"/>
      <c r="G15" s="1135"/>
      <c r="H15" s="1135"/>
      <c r="I15" s="1135"/>
      <c r="J15" s="1135"/>
      <c r="K15" s="1135"/>
      <c r="L15" s="1135"/>
      <c r="M15" s="559"/>
      <c r="N15" s="559"/>
      <c r="O15" s="559"/>
    </row>
    <row r="16" spans="1:256" s="605" customFormat="1" ht="16.399999999999999" hidden="1" customHeight="1">
      <c r="A16" s="607"/>
      <c r="B16" s="1136"/>
      <c r="C16" s="1137"/>
      <c r="D16" s="611"/>
      <c r="E16" s="611"/>
      <c r="F16" s="611"/>
      <c r="G16" s="611"/>
      <c r="H16" s="611"/>
      <c r="I16" s="611"/>
      <c r="J16" s="611"/>
      <c r="K16" s="611"/>
      <c r="L16" s="611"/>
      <c r="M16" s="559"/>
      <c r="N16" s="559"/>
      <c r="O16" s="559"/>
    </row>
    <row r="17" spans="1:15" s="605" customFormat="1" ht="18.649999999999999" hidden="1" customHeight="1">
      <c r="A17" s="607"/>
      <c r="B17" s="604"/>
      <c r="C17" s="604"/>
      <c r="D17" s="604"/>
      <c r="E17" s="604"/>
      <c r="F17" s="604"/>
      <c r="G17" s="604"/>
      <c r="H17" s="604"/>
      <c r="I17" s="604"/>
      <c r="J17" s="604"/>
      <c r="K17" s="604"/>
      <c r="L17" s="604"/>
      <c r="M17" s="559"/>
      <c r="N17" s="559"/>
      <c r="O17" s="559"/>
    </row>
    <row r="18" spans="1:15" s="614" customFormat="1" ht="33" hidden="1" customHeight="1">
      <c r="A18" s="612"/>
      <c r="B18" s="1135"/>
      <c r="C18" s="1135"/>
      <c r="D18" s="1135"/>
      <c r="E18" s="1135"/>
      <c r="F18" s="1135"/>
      <c r="G18" s="1135"/>
      <c r="H18" s="1135"/>
      <c r="I18" s="1135"/>
      <c r="J18" s="1135"/>
      <c r="K18" s="1135"/>
      <c r="L18" s="611"/>
      <c r="M18" s="613"/>
      <c r="N18" s="613"/>
      <c r="O18" s="613"/>
    </row>
    <row r="19" spans="1:15" s="605" customFormat="1" ht="28" customHeight="1" thickBot="1">
      <c r="A19" s="736" t="s">
        <v>783</v>
      </c>
      <c r="B19" s="736"/>
      <c r="C19" s="737"/>
      <c r="D19" s="737"/>
      <c r="E19" s="737"/>
      <c r="F19" s="737"/>
      <c r="G19" s="737"/>
      <c r="H19" s="737"/>
      <c r="I19" s="738"/>
      <c r="J19" s="738"/>
      <c r="K19" s="738"/>
      <c r="L19" s="738"/>
      <c r="M19" s="559"/>
      <c r="N19" s="559"/>
      <c r="O19" s="559"/>
    </row>
    <row r="20" spans="1:15" s="214" customFormat="1" ht="14.15" customHeight="1">
      <c r="A20" s="462"/>
    </row>
    <row r="21" spans="1:15" s="214" customFormat="1" ht="14.15" customHeight="1">
      <c r="A21" s="462"/>
      <c r="B21" s="214" t="s">
        <v>1821</v>
      </c>
    </row>
    <row r="22" spans="1:15" s="214" customFormat="1" ht="8.15" customHeight="1">
      <c r="A22" s="462"/>
    </row>
    <row r="23" spans="1:15" s="214" customFormat="1" ht="8.15" customHeight="1">
      <c r="A23" s="462"/>
    </row>
    <row r="24" spans="1:15" s="214" customFormat="1" ht="14.15" customHeight="1">
      <c r="A24" s="462"/>
      <c r="B24" s="1140" t="s">
        <v>2151</v>
      </c>
      <c r="C24" s="1140"/>
      <c r="D24" s="1140"/>
      <c r="E24" s="1167" t="s">
        <v>2154</v>
      </c>
      <c r="F24" s="1168"/>
      <c r="G24" s="1168"/>
      <c r="H24" s="1168"/>
      <c r="I24" s="1168"/>
    </row>
    <row r="25" spans="1:15" s="214" customFormat="1" ht="14.15" customHeight="1">
      <c r="A25" s="462"/>
      <c r="B25" s="1140"/>
      <c r="C25" s="1140"/>
      <c r="D25" s="1140"/>
      <c r="E25" s="1140" t="s">
        <v>2152</v>
      </c>
      <c r="F25" s="1140"/>
      <c r="G25" s="1165" t="s">
        <v>2153</v>
      </c>
      <c r="H25" s="1166"/>
      <c r="I25" s="1166"/>
    </row>
    <row r="26" spans="1:15" s="214" customFormat="1" ht="14.15" customHeight="1">
      <c r="A26" s="462"/>
      <c r="B26" s="1141"/>
      <c r="C26" s="1141"/>
      <c r="D26" s="1141"/>
      <c r="E26" s="1141"/>
      <c r="F26" s="1141"/>
      <c r="G26" s="1165"/>
      <c r="H26" s="1166"/>
      <c r="I26" s="1166"/>
    </row>
    <row r="27" spans="1:15" s="214" customFormat="1" ht="14.15" customHeight="1">
      <c r="A27" s="462"/>
      <c r="B27" s="1152" t="s">
        <v>2155</v>
      </c>
      <c r="C27" s="1153"/>
      <c r="D27" s="1153"/>
      <c r="E27" s="1153"/>
      <c r="F27" s="1153"/>
      <c r="G27" s="1153"/>
      <c r="H27" s="1153"/>
      <c r="I27" s="1153"/>
    </row>
    <row r="28" spans="1:15" s="214" customFormat="1" ht="14.15" customHeight="1">
      <c r="A28" s="462"/>
      <c r="B28" s="1142" t="s">
        <v>2165</v>
      </c>
      <c r="C28" s="1142"/>
      <c r="D28" s="1143"/>
      <c r="E28" s="1144" t="s">
        <v>2185</v>
      </c>
      <c r="F28" s="1145"/>
      <c r="G28" s="1145" t="s">
        <v>2188</v>
      </c>
      <c r="H28" s="1145"/>
      <c r="I28" s="1145"/>
    </row>
    <row r="29" spans="1:15" s="214" customFormat="1" ht="14.15" customHeight="1">
      <c r="A29" s="462"/>
      <c r="B29" s="1142"/>
      <c r="C29" s="1142"/>
      <c r="D29" s="1143"/>
      <c r="E29" s="1144"/>
      <c r="F29" s="1145"/>
      <c r="G29" s="1145"/>
      <c r="H29" s="1145"/>
      <c r="I29" s="1145"/>
    </row>
    <row r="30" spans="1:15" s="214" customFormat="1" ht="14.15" customHeight="1">
      <c r="A30" s="462"/>
      <c r="B30" s="1142" t="s">
        <v>2166</v>
      </c>
      <c r="C30" s="1142"/>
      <c r="D30" s="1143"/>
      <c r="E30" s="1144" t="s">
        <v>2186</v>
      </c>
      <c r="F30" s="1145"/>
      <c r="G30" s="1154" t="s">
        <v>2189</v>
      </c>
      <c r="H30" s="1145"/>
      <c r="I30" s="1145"/>
    </row>
    <row r="31" spans="1:15" s="214" customFormat="1" ht="14.15" customHeight="1">
      <c r="A31" s="462"/>
      <c r="B31" s="1142"/>
      <c r="C31" s="1142"/>
      <c r="D31" s="1143"/>
      <c r="E31" s="1144"/>
      <c r="F31" s="1145"/>
      <c r="G31" s="1145"/>
      <c r="H31" s="1145"/>
      <c r="I31" s="1145"/>
    </row>
    <row r="32" spans="1:15" s="214" customFormat="1" ht="14.15" customHeight="1">
      <c r="A32" s="462"/>
      <c r="B32" s="1142" t="s">
        <v>2167</v>
      </c>
      <c r="C32" s="1142"/>
      <c r="D32" s="1143"/>
      <c r="E32" s="1144" t="s">
        <v>2187</v>
      </c>
      <c r="F32" s="1145"/>
      <c r="G32" s="1145" t="s">
        <v>2190</v>
      </c>
      <c r="H32" s="1145"/>
      <c r="I32" s="1145"/>
    </row>
    <row r="33" spans="1:9" s="214" customFormat="1" ht="14.15" customHeight="1">
      <c r="A33" s="462"/>
      <c r="B33" s="1142"/>
      <c r="C33" s="1142"/>
      <c r="D33" s="1143"/>
      <c r="E33" s="1144"/>
      <c r="F33" s="1145"/>
      <c r="G33" s="1145"/>
      <c r="H33" s="1145"/>
      <c r="I33" s="1145"/>
    </row>
    <row r="34" spans="1:9" s="214" customFormat="1" ht="14.15" customHeight="1">
      <c r="A34" s="462"/>
      <c r="B34" s="1152" t="s">
        <v>2156</v>
      </c>
      <c r="C34" s="1153"/>
      <c r="D34" s="1153"/>
      <c r="E34" s="1153"/>
      <c r="F34" s="1153"/>
      <c r="G34" s="1153"/>
      <c r="H34" s="1153"/>
      <c r="I34" s="1153"/>
    </row>
    <row r="35" spans="1:9" s="214" customFormat="1" ht="14.15" customHeight="1">
      <c r="A35" s="462"/>
      <c r="B35" s="1149" t="s">
        <v>2168</v>
      </c>
      <c r="C35" s="1150"/>
      <c r="D35" s="1150"/>
      <c r="E35" s="1148" t="s">
        <v>2191</v>
      </c>
      <c r="F35" s="1148"/>
      <c r="G35" s="1148" t="s">
        <v>2194</v>
      </c>
      <c r="H35" s="1148"/>
      <c r="I35" s="1148"/>
    </row>
    <row r="36" spans="1:9" s="214" customFormat="1" ht="14.15" customHeight="1">
      <c r="A36" s="462"/>
      <c r="B36" s="1151"/>
      <c r="C36" s="1142"/>
      <c r="D36" s="1142"/>
      <c r="E36" s="1145"/>
      <c r="F36" s="1145"/>
      <c r="G36" s="1145"/>
      <c r="H36" s="1145"/>
      <c r="I36" s="1145"/>
    </row>
    <row r="37" spans="1:9" s="214" customFormat="1" ht="14.15" customHeight="1">
      <c r="A37" s="462"/>
      <c r="B37" s="1151" t="s">
        <v>2166</v>
      </c>
      <c r="C37" s="1142"/>
      <c r="D37" s="1142"/>
      <c r="E37" s="1145" t="s">
        <v>2192</v>
      </c>
      <c r="F37" s="1145"/>
      <c r="G37" s="1145" t="s">
        <v>2195</v>
      </c>
      <c r="H37" s="1145"/>
      <c r="I37" s="1145"/>
    </row>
    <row r="38" spans="1:9" s="214" customFormat="1" ht="14.15" customHeight="1">
      <c r="A38" s="462"/>
      <c r="B38" s="1151"/>
      <c r="C38" s="1142"/>
      <c r="D38" s="1142"/>
      <c r="E38" s="1145"/>
      <c r="F38" s="1145"/>
      <c r="G38" s="1145"/>
      <c r="H38" s="1145"/>
      <c r="I38" s="1145"/>
    </row>
    <row r="39" spans="1:9" s="214" customFormat="1" ht="14.15" customHeight="1">
      <c r="A39" s="462"/>
      <c r="B39" s="1151" t="s">
        <v>2169</v>
      </c>
      <c r="C39" s="1142"/>
      <c r="D39" s="1142"/>
      <c r="E39" s="1145" t="s">
        <v>2193</v>
      </c>
      <c r="F39" s="1145"/>
      <c r="G39" s="1145" t="s">
        <v>2196</v>
      </c>
      <c r="H39" s="1145"/>
      <c r="I39" s="1145"/>
    </row>
    <row r="40" spans="1:9" s="214" customFormat="1" ht="14.15" customHeight="1">
      <c r="A40" s="462"/>
      <c r="B40" s="1151"/>
      <c r="C40" s="1142"/>
      <c r="D40" s="1142"/>
      <c r="E40" s="1145"/>
      <c r="F40" s="1145"/>
      <c r="G40" s="1145"/>
      <c r="H40" s="1145"/>
      <c r="I40" s="1145"/>
    </row>
    <row r="41" spans="1:9" s="214" customFormat="1" ht="14.15" customHeight="1">
      <c r="A41" s="462"/>
      <c r="B41" s="1151" t="s">
        <v>2170</v>
      </c>
      <c r="C41" s="1142"/>
      <c r="D41" s="1142"/>
      <c r="E41" s="1145" t="s">
        <v>2193</v>
      </c>
      <c r="F41" s="1145"/>
      <c r="G41" s="1154" t="s">
        <v>2197</v>
      </c>
      <c r="H41" s="1145"/>
      <c r="I41" s="1145"/>
    </row>
    <row r="42" spans="1:9" s="214" customFormat="1" ht="14.15" customHeight="1">
      <c r="A42" s="462"/>
      <c r="B42" s="1151"/>
      <c r="C42" s="1142"/>
      <c r="D42" s="1142"/>
      <c r="E42" s="1145"/>
      <c r="F42" s="1145"/>
      <c r="G42" s="1145"/>
      <c r="H42" s="1145"/>
      <c r="I42" s="1145"/>
    </row>
    <row r="43" spans="1:9" s="214" customFormat="1" ht="14.15" customHeight="1">
      <c r="A43" s="462"/>
      <c r="B43" s="1146" t="s">
        <v>2157</v>
      </c>
      <c r="C43" s="1147"/>
      <c r="D43" s="1147"/>
      <c r="E43" s="1147"/>
      <c r="F43" s="1147"/>
      <c r="G43" s="1147"/>
      <c r="H43" s="1147"/>
      <c r="I43" s="1147"/>
    </row>
    <row r="44" spans="1:9" s="214" customFormat="1" ht="14.15" customHeight="1">
      <c r="A44" s="462"/>
      <c r="B44" s="1151" t="s">
        <v>2171</v>
      </c>
      <c r="C44" s="1142"/>
      <c r="D44" s="1142"/>
      <c r="E44" s="1145" t="s">
        <v>2198</v>
      </c>
      <c r="F44" s="1145"/>
      <c r="G44" s="1145" t="s">
        <v>2199</v>
      </c>
      <c r="H44" s="1145"/>
      <c r="I44" s="1145"/>
    </row>
    <row r="45" spans="1:9" s="214" customFormat="1" ht="14.15" customHeight="1">
      <c r="A45" s="462"/>
      <c r="B45" s="1151"/>
      <c r="C45" s="1142"/>
      <c r="D45" s="1142"/>
      <c r="E45" s="1145"/>
      <c r="F45" s="1145"/>
      <c r="G45" s="1145"/>
      <c r="H45" s="1145"/>
      <c r="I45" s="1145"/>
    </row>
    <row r="46" spans="1:9" s="214" customFormat="1" ht="14.15" customHeight="1">
      <c r="A46" s="462"/>
      <c r="B46" s="1146" t="s">
        <v>2158</v>
      </c>
      <c r="C46" s="1147"/>
      <c r="D46" s="1147"/>
      <c r="E46" s="1147"/>
      <c r="F46" s="1147"/>
      <c r="G46" s="1147"/>
      <c r="H46" s="1147"/>
      <c r="I46" s="1147"/>
    </row>
    <row r="47" spans="1:9" s="214" customFormat="1" ht="14.15" customHeight="1">
      <c r="A47" s="462"/>
      <c r="B47" s="1151" t="s">
        <v>2168</v>
      </c>
      <c r="C47" s="1142"/>
      <c r="D47" s="1142"/>
      <c r="E47" s="1145" t="s">
        <v>2200</v>
      </c>
      <c r="F47" s="1145"/>
      <c r="G47" s="1145" t="s">
        <v>2203</v>
      </c>
      <c r="H47" s="1145"/>
      <c r="I47" s="1145"/>
    </row>
    <row r="48" spans="1:9" s="214" customFormat="1" ht="14.15" customHeight="1">
      <c r="A48" s="462"/>
      <c r="B48" s="1151"/>
      <c r="C48" s="1142"/>
      <c r="D48" s="1142"/>
      <c r="E48" s="1145"/>
      <c r="F48" s="1145"/>
      <c r="G48" s="1145"/>
      <c r="H48" s="1145"/>
      <c r="I48" s="1145"/>
    </row>
    <row r="49" spans="1:9" s="214" customFormat="1" ht="14.15" customHeight="1">
      <c r="A49" s="462"/>
      <c r="B49" s="1151" t="s">
        <v>2172</v>
      </c>
      <c r="C49" s="1142"/>
      <c r="D49" s="1142"/>
      <c r="E49" s="1145" t="s">
        <v>2201</v>
      </c>
      <c r="F49" s="1145"/>
      <c r="G49" s="1145" t="s">
        <v>2204</v>
      </c>
      <c r="H49" s="1145"/>
      <c r="I49" s="1145"/>
    </row>
    <row r="50" spans="1:9" s="214" customFormat="1" ht="14.15" customHeight="1">
      <c r="A50" s="462"/>
      <c r="B50" s="1151"/>
      <c r="C50" s="1142"/>
      <c r="D50" s="1142"/>
      <c r="E50" s="1145"/>
      <c r="F50" s="1145"/>
      <c r="G50" s="1145"/>
      <c r="H50" s="1145"/>
      <c r="I50" s="1145"/>
    </row>
    <row r="51" spans="1:9" s="214" customFormat="1" ht="14.15" customHeight="1">
      <c r="A51" s="462"/>
      <c r="B51" s="1151" t="s">
        <v>2170</v>
      </c>
      <c r="C51" s="1142"/>
      <c r="D51" s="1142"/>
      <c r="E51" s="1145" t="s">
        <v>2202</v>
      </c>
      <c r="F51" s="1145"/>
      <c r="G51" s="1145" t="s">
        <v>2204</v>
      </c>
      <c r="H51" s="1145"/>
      <c r="I51" s="1145"/>
    </row>
    <row r="52" spans="1:9" s="214" customFormat="1" ht="14.15" customHeight="1">
      <c r="A52" s="462"/>
      <c r="B52" s="1151"/>
      <c r="C52" s="1142"/>
      <c r="D52" s="1142"/>
      <c r="E52" s="1145"/>
      <c r="F52" s="1145"/>
      <c r="G52" s="1145"/>
      <c r="H52" s="1145"/>
      <c r="I52" s="1145"/>
    </row>
    <row r="53" spans="1:9" s="214" customFormat="1" ht="14.15" customHeight="1">
      <c r="A53" s="462"/>
      <c r="B53" s="1146" t="s">
        <v>2159</v>
      </c>
      <c r="C53" s="1147"/>
      <c r="D53" s="1147"/>
      <c r="E53" s="1147"/>
      <c r="F53" s="1147"/>
      <c r="G53" s="1147"/>
      <c r="H53" s="1147"/>
      <c r="I53" s="1147"/>
    </row>
    <row r="54" spans="1:9" s="214" customFormat="1" ht="14.15" customHeight="1">
      <c r="A54" s="462"/>
      <c r="B54" s="1151" t="s">
        <v>2173</v>
      </c>
      <c r="C54" s="1142"/>
      <c r="D54" s="1142"/>
      <c r="E54" s="1145" t="s">
        <v>2205</v>
      </c>
      <c r="F54" s="1145"/>
      <c r="G54" s="1145" t="s">
        <v>2207</v>
      </c>
      <c r="H54" s="1145"/>
      <c r="I54" s="1145"/>
    </row>
    <row r="55" spans="1:9" s="214" customFormat="1" ht="14.15" customHeight="1">
      <c r="A55" s="462"/>
      <c r="B55" s="1151"/>
      <c r="C55" s="1142"/>
      <c r="D55" s="1142"/>
      <c r="E55" s="1145"/>
      <c r="F55" s="1145"/>
      <c r="G55" s="1145"/>
      <c r="H55" s="1145"/>
      <c r="I55" s="1145"/>
    </row>
    <row r="56" spans="1:9" s="214" customFormat="1" ht="14.15" customHeight="1">
      <c r="A56" s="462"/>
      <c r="B56" s="1151" t="s">
        <v>2174</v>
      </c>
      <c r="C56" s="1142"/>
      <c r="D56" s="1142"/>
      <c r="E56" s="1145" t="s">
        <v>2206</v>
      </c>
      <c r="F56" s="1145"/>
      <c r="G56" s="1145" t="s">
        <v>2208</v>
      </c>
      <c r="H56" s="1145"/>
      <c r="I56" s="1145"/>
    </row>
    <row r="57" spans="1:9" s="214" customFormat="1" ht="14.15" customHeight="1">
      <c r="A57" s="462"/>
      <c r="B57" s="1151"/>
      <c r="C57" s="1142"/>
      <c r="D57" s="1142"/>
      <c r="E57" s="1145"/>
      <c r="F57" s="1145"/>
      <c r="G57" s="1145"/>
      <c r="H57" s="1145"/>
      <c r="I57" s="1145"/>
    </row>
    <row r="58" spans="1:9" s="214" customFormat="1" ht="14.15" customHeight="1">
      <c r="A58" s="462"/>
      <c r="B58" s="1146" t="s">
        <v>2160</v>
      </c>
      <c r="C58" s="1147"/>
      <c r="D58" s="1147"/>
      <c r="E58" s="1147"/>
      <c r="F58" s="1147"/>
      <c r="G58" s="1147"/>
      <c r="H58" s="1147"/>
      <c r="I58" s="1147"/>
    </row>
    <row r="59" spans="1:9" s="214" customFormat="1" ht="14.15" customHeight="1">
      <c r="A59" s="462"/>
      <c r="B59" s="1151" t="s">
        <v>2175</v>
      </c>
      <c r="C59" s="1142"/>
      <c r="D59" s="1142"/>
      <c r="E59" s="1145" t="s">
        <v>2209</v>
      </c>
      <c r="F59" s="1145"/>
      <c r="G59" s="1173"/>
      <c r="H59" s="1173"/>
      <c r="I59" s="1173"/>
    </row>
    <row r="60" spans="1:9" s="214" customFormat="1" ht="14.15" customHeight="1">
      <c r="A60" s="462"/>
      <c r="B60" s="1151"/>
      <c r="C60" s="1142"/>
      <c r="D60" s="1142"/>
      <c r="E60" s="1145"/>
      <c r="F60" s="1145"/>
      <c r="G60" s="1173"/>
      <c r="H60" s="1173"/>
      <c r="I60" s="1173"/>
    </row>
    <row r="61" spans="1:9" s="214" customFormat="1" ht="14.15" customHeight="1">
      <c r="A61" s="462"/>
      <c r="B61" s="1151" t="s">
        <v>2176</v>
      </c>
      <c r="C61" s="1142"/>
      <c r="D61" s="1142"/>
      <c r="E61" s="1145" t="s">
        <v>2210</v>
      </c>
      <c r="F61" s="1145"/>
      <c r="G61" s="1173"/>
      <c r="H61" s="1173"/>
      <c r="I61" s="1173"/>
    </row>
    <row r="62" spans="1:9" s="214" customFormat="1" ht="14.15" customHeight="1">
      <c r="A62" s="462"/>
      <c r="B62" s="1169"/>
      <c r="C62" s="1170"/>
      <c r="D62" s="1170"/>
      <c r="E62" s="1171"/>
      <c r="F62" s="1171"/>
      <c r="G62" s="1174"/>
      <c r="H62" s="1174"/>
      <c r="I62" s="1174"/>
    </row>
    <row r="63" spans="1:9" s="214" customFormat="1" ht="14.15" customHeight="1">
      <c r="A63" s="462"/>
      <c r="B63" s="1165" t="s">
        <v>2161</v>
      </c>
      <c r="C63" s="1166"/>
      <c r="D63" s="1172"/>
      <c r="E63" s="1175" t="s">
        <v>2162</v>
      </c>
      <c r="F63" s="1165" t="s">
        <v>2650</v>
      </c>
      <c r="G63" s="1172"/>
      <c r="H63" s="1165" t="s">
        <v>2163</v>
      </c>
      <c r="I63" s="1172"/>
    </row>
    <row r="64" spans="1:9" s="214" customFormat="1" ht="14.15" customHeight="1">
      <c r="A64" s="462"/>
      <c r="B64" s="1165"/>
      <c r="C64" s="1166"/>
      <c r="D64" s="1172"/>
      <c r="E64" s="1175"/>
      <c r="F64" s="1165"/>
      <c r="G64" s="1172"/>
      <c r="H64" s="1165"/>
      <c r="I64" s="1172"/>
    </row>
    <row r="65" spans="1:15" s="214" customFormat="1" ht="14.15" customHeight="1">
      <c r="A65" s="462"/>
      <c r="B65" s="1155" t="s">
        <v>2177</v>
      </c>
      <c r="C65" s="1156"/>
      <c r="D65" s="1157"/>
      <c r="E65" s="1161"/>
      <c r="F65" s="1155" t="s">
        <v>2178</v>
      </c>
      <c r="G65" s="1156"/>
      <c r="H65" s="1156"/>
      <c r="I65" s="1157"/>
    </row>
    <row r="66" spans="1:15" s="214" customFormat="1" ht="14.15" customHeight="1">
      <c r="A66" s="462"/>
      <c r="B66" s="1158"/>
      <c r="C66" s="1159"/>
      <c r="D66" s="1160"/>
      <c r="E66" s="1162"/>
      <c r="F66" s="1158"/>
      <c r="G66" s="1159"/>
      <c r="H66" s="1159"/>
      <c r="I66" s="1160"/>
    </row>
    <row r="67" spans="1:15" s="214" customFormat="1" ht="14.15" customHeight="1">
      <c r="A67" s="462"/>
      <c r="B67" s="1163" t="s">
        <v>2179</v>
      </c>
      <c r="C67" s="1163"/>
      <c r="D67" s="1163"/>
      <c r="E67" s="1183">
        <v>0.31</v>
      </c>
      <c r="F67" s="1183">
        <v>0.36</v>
      </c>
      <c r="G67" s="1184"/>
      <c r="H67" s="1179">
        <v>1.1000000000000001</v>
      </c>
      <c r="I67" s="1189"/>
    </row>
    <row r="68" spans="1:15" s="474" customFormat="1" ht="16" customHeight="1">
      <c r="A68" s="228"/>
      <c r="B68" s="1164"/>
      <c r="C68" s="1164"/>
      <c r="D68" s="1164"/>
      <c r="E68" s="1187"/>
      <c r="F68" s="1187"/>
      <c r="G68" s="1188"/>
      <c r="H68" s="1190"/>
      <c r="I68" s="1191"/>
    </row>
    <row r="69" spans="1:15" ht="15" customHeight="1">
      <c r="B69" s="1163" t="s">
        <v>2180</v>
      </c>
      <c r="C69" s="1163"/>
      <c r="D69" s="1163"/>
      <c r="E69" s="1183">
        <v>0.38</v>
      </c>
      <c r="F69" s="1187"/>
      <c r="G69" s="1188"/>
      <c r="H69" s="1190"/>
      <c r="I69" s="1191"/>
    </row>
    <row r="70" spans="1:15" s="623" customFormat="1" ht="15" customHeight="1">
      <c r="A70" s="624"/>
      <c r="B70" s="1164"/>
      <c r="C70" s="1164"/>
      <c r="D70" s="1164"/>
      <c r="E70" s="1187"/>
      <c r="F70" s="1187"/>
      <c r="G70" s="1188"/>
      <c r="H70" s="1190"/>
      <c r="I70" s="1191"/>
      <c r="J70" s="624"/>
      <c r="K70" s="624"/>
      <c r="L70" s="624"/>
      <c r="M70" s="622"/>
      <c r="N70" s="622"/>
      <c r="O70" s="622"/>
    </row>
    <row r="71" spans="1:15" s="469" customFormat="1" ht="18" customHeight="1">
      <c r="A71" s="467"/>
      <c r="B71" s="1163" t="s">
        <v>2181</v>
      </c>
      <c r="C71" s="1163"/>
      <c r="D71" s="1163"/>
      <c r="E71" s="1183">
        <v>0.46</v>
      </c>
      <c r="F71" s="1187"/>
      <c r="G71" s="1188"/>
      <c r="H71" s="1190"/>
      <c r="I71" s="1191"/>
      <c r="J71" s="467"/>
      <c r="K71" s="467"/>
      <c r="L71" s="467"/>
      <c r="M71" s="468"/>
      <c r="N71" s="468"/>
      <c r="O71" s="468"/>
    </row>
    <row r="72" spans="1:15" s="474" customFormat="1" ht="16.5" customHeight="1">
      <c r="A72" s="472"/>
      <c r="B72" s="1164"/>
      <c r="C72" s="1164"/>
      <c r="D72" s="1164"/>
      <c r="E72" s="1187"/>
      <c r="F72" s="1187"/>
      <c r="G72" s="1188"/>
      <c r="H72" s="1190"/>
      <c r="I72" s="1191"/>
      <c r="J72" s="226"/>
      <c r="K72" s="226"/>
      <c r="L72" s="226"/>
      <c r="M72" s="473"/>
      <c r="N72" s="473"/>
      <c r="O72" s="473"/>
    </row>
    <row r="73" spans="1:15" s="474" customFormat="1" ht="16.5" customHeight="1">
      <c r="A73" s="472"/>
      <c r="B73" s="1163" t="s">
        <v>2182</v>
      </c>
      <c r="C73" s="1163"/>
      <c r="D73" s="1163"/>
      <c r="E73" s="1183">
        <v>0.68</v>
      </c>
      <c r="F73" s="1187"/>
      <c r="G73" s="1188"/>
      <c r="H73" s="1190"/>
      <c r="I73" s="1191"/>
      <c r="J73" s="226"/>
      <c r="K73" s="226"/>
      <c r="L73" s="226"/>
      <c r="M73" s="473"/>
      <c r="N73" s="473"/>
      <c r="O73" s="473"/>
    </row>
    <row r="74" spans="1:15" s="162" customFormat="1" ht="15" customHeight="1">
      <c r="A74" s="472"/>
      <c r="B74" s="1164"/>
      <c r="C74" s="1164"/>
      <c r="D74" s="1164"/>
      <c r="E74" s="1187"/>
      <c r="F74" s="1187"/>
      <c r="G74" s="1188"/>
      <c r="H74" s="1190"/>
      <c r="I74" s="1191"/>
      <c r="J74" s="226"/>
      <c r="K74" s="226"/>
      <c r="L74" s="226"/>
      <c r="M74" s="473"/>
      <c r="N74" s="473"/>
      <c r="O74" s="473"/>
    </row>
    <row r="75" spans="1:15" s="162" customFormat="1" ht="15" customHeight="1">
      <c r="A75" s="472"/>
      <c r="B75" s="1176" t="s">
        <v>2164</v>
      </c>
      <c r="C75" s="1176"/>
      <c r="D75" s="1176"/>
      <c r="E75" s="1176"/>
      <c r="F75" s="1176"/>
      <c r="G75" s="1176"/>
      <c r="H75" s="1176"/>
      <c r="I75" s="1176"/>
      <c r="J75" s="226"/>
      <c r="K75" s="226"/>
      <c r="L75" s="226"/>
      <c r="M75" s="473"/>
      <c r="N75" s="473"/>
      <c r="O75" s="473"/>
    </row>
    <row r="76" spans="1:15" s="162" customFormat="1" ht="15" customHeight="1">
      <c r="A76" s="472"/>
      <c r="B76" s="1144" t="s">
        <v>2183</v>
      </c>
      <c r="C76" s="1145"/>
      <c r="D76" s="1145"/>
      <c r="E76" s="1177">
        <v>0.5</v>
      </c>
      <c r="F76" s="1179">
        <v>0.4</v>
      </c>
      <c r="G76" s="1180"/>
      <c r="H76" s="1183" t="s">
        <v>2184</v>
      </c>
      <c r="I76" s="1184"/>
      <c r="J76" s="226"/>
      <c r="K76" s="226"/>
      <c r="L76" s="226"/>
      <c r="M76" s="473"/>
      <c r="N76" s="473"/>
      <c r="O76" s="473"/>
    </row>
    <row r="77" spans="1:15" s="162" customFormat="1" ht="17.5" customHeight="1">
      <c r="A77" s="472"/>
      <c r="B77" s="1144"/>
      <c r="C77" s="1145"/>
      <c r="D77" s="1145"/>
      <c r="E77" s="1178"/>
      <c r="F77" s="1181"/>
      <c r="G77" s="1182"/>
      <c r="H77" s="1185"/>
      <c r="I77" s="1186"/>
      <c r="J77" s="226"/>
      <c r="K77" s="226"/>
      <c r="L77" s="226"/>
      <c r="M77" s="473"/>
      <c r="N77" s="473"/>
      <c r="O77" s="473"/>
    </row>
    <row r="78" spans="1:15" s="162" customFormat="1" ht="17.5" customHeight="1">
      <c r="A78" s="472"/>
      <c r="B78" s="226"/>
      <c r="C78" s="226"/>
      <c r="D78" s="226"/>
      <c r="E78" s="226"/>
      <c r="F78" s="226"/>
      <c r="G78" s="226"/>
      <c r="H78" s="226"/>
      <c r="I78" s="226"/>
      <c r="J78" s="226"/>
      <c r="K78" s="226"/>
      <c r="L78" s="226"/>
      <c r="M78" s="473"/>
      <c r="N78" s="473"/>
      <c r="O78" s="473"/>
    </row>
    <row r="79" spans="1:15" s="162" customFormat="1" ht="16" customHeight="1">
      <c r="A79" s="472"/>
      <c r="B79" s="1015" t="s">
        <v>2651</v>
      </c>
      <c r="C79" s="226"/>
      <c r="D79" s="226"/>
      <c r="E79" s="226"/>
      <c r="F79" s="226"/>
      <c r="G79" s="226"/>
      <c r="H79" s="226"/>
      <c r="I79" s="226"/>
      <c r="J79" s="226"/>
      <c r="K79" s="226"/>
      <c r="L79" s="226"/>
      <c r="M79" s="473"/>
      <c r="N79" s="473"/>
      <c r="O79" s="473"/>
    </row>
    <row r="80" spans="1:15" ht="16.5" customHeight="1">
      <c r="C80" s="229"/>
      <c r="E80" s="507"/>
      <c r="F80" s="508"/>
      <c r="M80" s="38"/>
      <c r="N80" s="38"/>
      <c r="O80" s="38"/>
    </row>
    <row r="81" spans="1:256" ht="16.5" customHeight="1">
      <c r="D81" s="230"/>
    </row>
    <row r="82" spans="1:256" ht="16.5" customHeight="1">
      <c r="A82" s="74" t="s">
        <v>165</v>
      </c>
      <c r="B82" s="77"/>
      <c r="C82" s="466" t="str">
        <f>Development!$A$2</f>
        <v>1.0</v>
      </c>
      <c r="D82" s="1041"/>
      <c r="E82" s="1041"/>
      <c r="F82" s="1041"/>
      <c r="G82" s="1042"/>
      <c r="H82" s="1042"/>
      <c r="I82" s="1042"/>
      <c r="J82" s="77"/>
      <c r="K82" s="78" t="s">
        <v>167</v>
      </c>
      <c r="L82" s="79" t="str">
        <f>Development!$A$4</f>
        <v>01.01.2025</v>
      </c>
    </row>
    <row r="83" spans="1:256" ht="16.5" hidden="1" customHeight="1"/>
    <row r="84" spans="1:256" ht="16.5" hidden="1" customHeight="1"/>
    <row r="89" spans="1:256" s="225" customFormat="1" ht="0" hidden="1" customHeight="1">
      <c r="B89" s="132"/>
      <c r="C89" s="132"/>
      <c r="D89" s="132"/>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32"/>
      <c r="AD89" s="132"/>
      <c r="AE89" s="132"/>
      <c r="AF89" s="132"/>
      <c r="AG89" s="132"/>
      <c r="AH89" s="132"/>
      <c r="AI89" s="132"/>
      <c r="AJ89" s="132"/>
      <c r="AK89" s="132"/>
      <c r="AL89" s="132"/>
      <c r="AM89" s="132"/>
      <c r="AN89" s="132"/>
      <c r="AO89" s="132"/>
      <c r="AP89" s="132"/>
      <c r="AQ89" s="132"/>
      <c r="AR89" s="132"/>
      <c r="AS89" s="132"/>
      <c r="AT89" s="132"/>
      <c r="AU89" s="132"/>
      <c r="AV89" s="132"/>
      <c r="AW89" s="132"/>
      <c r="AX89" s="132"/>
      <c r="AY89" s="132"/>
      <c r="AZ89" s="132"/>
      <c r="BA89" s="132"/>
      <c r="BB89" s="132"/>
      <c r="BC89" s="132"/>
      <c r="BD89" s="132"/>
      <c r="BE89" s="132"/>
      <c r="BF89" s="132"/>
      <c r="BG89" s="132"/>
      <c r="BH89" s="132"/>
      <c r="BI89" s="132"/>
      <c r="BJ89" s="132"/>
      <c r="BK89" s="132"/>
      <c r="BL89" s="132"/>
      <c r="BM89" s="132"/>
      <c r="BN89" s="132"/>
      <c r="BO89" s="132"/>
      <c r="BP89" s="132"/>
      <c r="BQ89" s="132"/>
      <c r="BR89" s="132"/>
      <c r="BS89" s="132"/>
      <c r="BT89" s="132"/>
      <c r="BU89" s="132"/>
      <c r="BV89" s="132"/>
      <c r="BW89" s="132"/>
      <c r="BX89" s="132"/>
      <c r="BY89" s="132"/>
      <c r="BZ89" s="132"/>
      <c r="CA89" s="132"/>
      <c r="CB89" s="132"/>
      <c r="CC89" s="132"/>
      <c r="CD89" s="132"/>
      <c r="CE89" s="132"/>
      <c r="CF89" s="132"/>
      <c r="CG89" s="132"/>
      <c r="CH89" s="132"/>
      <c r="CI89" s="132"/>
      <c r="CJ89" s="132"/>
      <c r="CK89" s="132"/>
      <c r="CL89" s="132"/>
      <c r="CM89" s="132"/>
      <c r="CN89" s="132"/>
      <c r="CO89" s="132"/>
      <c r="CP89" s="132"/>
      <c r="CQ89" s="132"/>
      <c r="CR89" s="132"/>
      <c r="CS89" s="132"/>
      <c r="CT89" s="132"/>
      <c r="CU89" s="132"/>
      <c r="CV89" s="132"/>
      <c r="CW89" s="132"/>
      <c r="CX89" s="132"/>
      <c r="CY89" s="132"/>
      <c r="CZ89" s="132"/>
      <c r="DA89" s="132"/>
      <c r="DB89" s="132"/>
      <c r="DC89" s="132"/>
      <c r="DD89" s="132"/>
      <c r="DE89" s="132"/>
      <c r="DF89" s="132"/>
      <c r="DG89" s="132"/>
      <c r="DH89" s="132"/>
      <c r="DI89" s="132"/>
      <c r="DJ89" s="132"/>
      <c r="DK89" s="132"/>
      <c r="DL89" s="132"/>
      <c r="DM89" s="132"/>
      <c r="DN89" s="132"/>
      <c r="DO89" s="132"/>
      <c r="DP89" s="132"/>
      <c r="DQ89" s="132"/>
      <c r="DR89" s="132"/>
      <c r="DS89" s="132"/>
      <c r="DT89" s="132"/>
      <c r="DU89" s="132"/>
      <c r="DV89" s="132"/>
      <c r="DW89" s="132"/>
      <c r="DX89" s="132"/>
      <c r="DY89" s="132"/>
      <c r="DZ89" s="132"/>
      <c r="EA89" s="132"/>
      <c r="EB89" s="132"/>
      <c r="EC89" s="132"/>
      <c r="ED89" s="132"/>
      <c r="EE89" s="132"/>
      <c r="EF89" s="132"/>
      <c r="EG89" s="132"/>
      <c r="EH89" s="132"/>
      <c r="EI89" s="132"/>
      <c r="EJ89" s="132"/>
      <c r="EK89" s="132"/>
      <c r="EL89" s="132"/>
      <c r="EM89" s="132"/>
      <c r="EN89" s="132"/>
      <c r="EO89" s="132"/>
      <c r="EP89" s="132"/>
      <c r="EQ89" s="132"/>
      <c r="ER89" s="132"/>
      <c r="ES89" s="132"/>
      <c r="ET89" s="132"/>
      <c r="EU89" s="132"/>
      <c r="EV89" s="132"/>
      <c r="EW89" s="132"/>
      <c r="EX89" s="132"/>
      <c r="EY89" s="132"/>
      <c r="EZ89" s="132"/>
      <c r="FA89" s="132"/>
      <c r="FB89" s="132"/>
      <c r="FC89" s="132"/>
      <c r="FD89" s="132"/>
      <c r="FE89" s="132"/>
      <c r="FF89" s="132"/>
      <c r="FG89" s="132"/>
      <c r="FH89" s="132"/>
      <c r="FI89" s="132"/>
      <c r="FJ89" s="132"/>
      <c r="FK89" s="132"/>
      <c r="FL89" s="132"/>
      <c r="FM89" s="132"/>
      <c r="FN89" s="132"/>
      <c r="FO89" s="132"/>
      <c r="FP89" s="132"/>
      <c r="FQ89" s="132"/>
      <c r="FR89" s="132"/>
      <c r="FS89" s="132"/>
      <c r="FT89" s="132"/>
      <c r="FU89" s="132"/>
      <c r="FV89" s="132"/>
      <c r="FW89" s="132"/>
      <c r="FX89" s="132"/>
      <c r="FY89" s="132"/>
      <c r="FZ89" s="132"/>
      <c r="GA89" s="132"/>
      <c r="GB89" s="132"/>
      <c r="GC89" s="132"/>
      <c r="GD89" s="132"/>
      <c r="GE89" s="132"/>
      <c r="GF89" s="132"/>
      <c r="GG89" s="132"/>
      <c r="GH89" s="132"/>
      <c r="GI89" s="132"/>
      <c r="GJ89" s="132"/>
      <c r="GK89" s="132"/>
      <c r="GL89" s="132"/>
      <c r="GM89" s="132"/>
      <c r="GN89" s="132"/>
      <c r="GO89" s="132"/>
      <c r="GP89" s="132"/>
      <c r="GQ89" s="132"/>
      <c r="GR89" s="132"/>
      <c r="GS89" s="132"/>
      <c r="GT89" s="132"/>
      <c r="GU89" s="132"/>
      <c r="GV89" s="132"/>
      <c r="GW89" s="132"/>
      <c r="GX89" s="132"/>
      <c r="GY89" s="132"/>
      <c r="GZ89" s="132"/>
      <c r="HA89" s="132"/>
      <c r="HB89" s="132"/>
      <c r="HC89" s="132"/>
      <c r="HD89" s="132"/>
      <c r="HE89" s="132"/>
      <c r="HF89" s="132"/>
      <c r="HG89" s="132"/>
      <c r="HH89" s="132"/>
      <c r="HI89" s="132"/>
      <c r="HJ89" s="132"/>
      <c r="HK89" s="132"/>
      <c r="HL89" s="132"/>
      <c r="HM89" s="132"/>
      <c r="HN89" s="132"/>
      <c r="HO89" s="132"/>
      <c r="HP89" s="132"/>
      <c r="HQ89" s="132"/>
      <c r="HR89" s="132"/>
      <c r="HS89" s="132"/>
      <c r="HT89" s="132"/>
      <c r="HU89" s="132"/>
      <c r="HV89" s="132"/>
      <c r="HW89" s="132"/>
      <c r="HX89" s="132"/>
      <c r="HY89" s="132"/>
      <c r="HZ89" s="132"/>
      <c r="IA89" s="132"/>
      <c r="IB89" s="132"/>
      <c r="IC89" s="132"/>
      <c r="ID89" s="132"/>
      <c r="IE89" s="132"/>
      <c r="IF89" s="132"/>
      <c r="IG89" s="132"/>
      <c r="IH89" s="132"/>
      <c r="II89" s="132"/>
      <c r="IJ89" s="132"/>
      <c r="IK89" s="132"/>
      <c r="IL89" s="132"/>
      <c r="IM89" s="132"/>
      <c r="IN89" s="132"/>
      <c r="IO89" s="132"/>
      <c r="IP89" s="132"/>
      <c r="IQ89" s="132"/>
      <c r="IR89" s="132"/>
      <c r="IS89" s="132"/>
      <c r="IT89" s="132"/>
      <c r="IU89" s="132"/>
      <c r="IV89" s="132"/>
    </row>
    <row r="90" spans="1:256" s="225" customFormat="1" ht="0" hidden="1" customHeight="1">
      <c r="B90" s="132"/>
      <c r="C90" s="132"/>
      <c r="D90" s="132"/>
      <c r="E90" s="132"/>
      <c r="F90" s="132"/>
      <c r="G90" s="132"/>
      <c r="H90" s="132"/>
      <c r="I90" s="132"/>
      <c r="J90" s="132"/>
      <c r="K90" s="132"/>
      <c r="L90" s="132"/>
      <c r="M90" s="132"/>
      <c r="N90" s="132"/>
      <c r="O90" s="132"/>
      <c r="P90" s="132"/>
      <c r="Q90" s="132"/>
      <c r="R90" s="132"/>
      <c r="S90" s="132"/>
      <c r="T90" s="132"/>
      <c r="U90" s="132"/>
      <c r="V90" s="132"/>
      <c r="W90" s="132"/>
      <c r="X90" s="132"/>
      <c r="Y90" s="132"/>
      <c r="Z90" s="132"/>
      <c r="AA90" s="132"/>
      <c r="AB90" s="132"/>
      <c r="AC90" s="132"/>
      <c r="AD90" s="132"/>
      <c r="AE90" s="132"/>
      <c r="AF90" s="132"/>
      <c r="AG90" s="132"/>
      <c r="AH90" s="132"/>
      <c r="AI90" s="132"/>
      <c r="AJ90" s="132"/>
      <c r="AK90" s="132"/>
      <c r="AL90" s="132"/>
      <c r="AM90" s="132"/>
      <c r="AN90" s="132"/>
      <c r="AO90" s="132"/>
      <c r="AP90" s="132"/>
      <c r="AQ90" s="132"/>
      <c r="AR90" s="132"/>
      <c r="AS90" s="132"/>
      <c r="AT90" s="132"/>
      <c r="AU90" s="132"/>
      <c r="AV90" s="132"/>
      <c r="AW90" s="132"/>
      <c r="AX90" s="132"/>
      <c r="AY90" s="132"/>
      <c r="AZ90" s="132"/>
      <c r="BA90" s="132"/>
      <c r="BB90" s="132"/>
      <c r="BC90" s="132"/>
      <c r="BD90" s="132"/>
      <c r="BE90" s="132"/>
      <c r="BF90" s="132"/>
      <c r="BG90" s="132"/>
      <c r="BH90" s="132"/>
      <c r="BI90" s="132"/>
      <c r="BJ90" s="132"/>
      <c r="BK90" s="132"/>
      <c r="BL90" s="132"/>
      <c r="BM90" s="132"/>
      <c r="BN90" s="132"/>
      <c r="BO90" s="132"/>
      <c r="BP90" s="132"/>
      <c r="BQ90" s="132"/>
      <c r="BR90" s="132"/>
      <c r="BS90" s="132"/>
      <c r="BT90" s="132"/>
      <c r="BU90" s="132"/>
      <c r="BV90" s="132"/>
      <c r="BW90" s="132"/>
      <c r="BX90" s="132"/>
      <c r="BY90" s="132"/>
      <c r="BZ90" s="132"/>
      <c r="CA90" s="132"/>
      <c r="CB90" s="132"/>
      <c r="CC90" s="132"/>
      <c r="CD90" s="132"/>
      <c r="CE90" s="132"/>
      <c r="CF90" s="132"/>
      <c r="CG90" s="132"/>
      <c r="CH90" s="132"/>
      <c r="CI90" s="132"/>
      <c r="CJ90" s="132"/>
      <c r="CK90" s="132"/>
      <c r="CL90" s="132"/>
      <c r="CM90" s="132"/>
      <c r="CN90" s="132"/>
      <c r="CO90" s="132"/>
      <c r="CP90" s="132"/>
      <c r="CQ90" s="132"/>
      <c r="CR90" s="132"/>
      <c r="CS90" s="132"/>
      <c r="CT90" s="132"/>
      <c r="CU90" s="132"/>
      <c r="CV90" s="132"/>
      <c r="CW90" s="132"/>
      <c r="CX90" s="132"/>
      <c r="CY90" s="132"/>
      <c r="CZ90" s="132"/>
      <c r="DA90" s="132"/>
      <c r="DB90" s="132"/>
      <c r="DC90" s="132"/>
      <c r="DD90" s="132"/>
      <c r="DE90" s="132"/>
      <c r="DF90" s="132"/>
      <c r="DG90" s="132"/>
      <c r="DH90" s="132"/>
      <c r="DI90" s="132"/>
      <c r="DJ90" s="132"/>
      <c r="DK90" s="132"/>
      <c r="DL90" s="132"/>
      <c r="DM90" s="132"/>
      <c r="DN90" s="132"/>
      <c r="DO90" s="132"/>
      <c r="DP90" s="132"/>
      <c r="DQ90" s="132"/>
      <c r="DR90" s="132"/>
      <c r="DS90" s="132"/>
      <c r="DT90" s="132"/>
      <c r="DU90" s="132"/>
      <c r="DV90" s="132"/>
      <c r="DW90" s="132"/>
      <c r="DX90" s="132"/>
      <c r="DY90" s="132"/>
      <c r="DZ90" s="132"/>
      <c r="EA90" s="132"/>
      <c r="EB90" s="132"/>
      <c r="EC90" s="132"/>
      <c r="ED90" s="132"/>
      <c r="EE90" s="132"/>
      <c r="EF90" s="132"/>
      <c r="EG90" s="132"/>
      <c r="EH90" s="132"/>
      <c r="EI90" s="132"/>
      <c r="EJ90" s="132"/>
      <c r="EK90" s="132"/>
      <c r="EL90" s="132"/>
      <c r="EM90" s="132"/>
      <c r="EN90" s="132"/>
      <c r="EO90" s="132"/>
      <c r="EP90" s="132"/>
      <c r="EQ90" s="132"/>
      <c r="ER90" s="132"/>
      <c r="ES90" s="132"/>
      <c r="ET90" s="132"/>
      <c r="EU90" s="132"/>
      <c r="EV90" s="132"/>
      <c r="EW90" s="132"/>
      <c r="EX90" s="132"/>
      <c r="EY90" s="132"/>
      <c r="EZ90" s="132"/>
      <c r="FA90" s="132"/>
      <c r="FB90" s="132"/>
      <c r="FC90" s="132"/>
      <c r="FD90" s="132"/>
      <c r="FE90" s="132"/>
      <c r="FF90" s="132"/>
      <c r="FG90" s="132"/>
      <c r="FH90" s="132"/>
      <c r="FI90" s="132"/>
      <c r="FJ90" s="132"/>
      <c r="FK90" s="132"/>
      <c r="FL90" s="132"/>
      <c r="FM90" s="132"/>
      <c r="FN90" s="132"/>
      <c r="FO90" s="132"/>
      <c r="FP90" s="132"/>
      <c r="FQ90" s="132"/>
      <c r="FR90" s="132"/>
      <c r="FS90" s="132"/>
      <c r="FT90" s="132"/>
      <c r="FU90" s="132"/>
      <c r="FV90" s="132"/>
      <c r="FW90" s="132"/>
      <c r="FX90" s="132"/>
      <c r="FY90" s="132"/>
      <c r="FZ90" s="132"/>
      <c r="GA90" s="132"/>
      <c r="GB90" s="132"/>
      <c r="GC90" s="132"/>
      <c r="GD90" s="132"/>
      <c r="GE90" s="132"/>
      <c r="GF90" s="132"/>
      <c r="GG90" s="132"/>
      <c r="GH90" s="132"/>
      <c r="GI90" s="132"/>
      <c r="GJ90" s="132"/>
      <c r="GK90" s="132"/>
      <c r="GL90" s="132"/>
      <c r="GM90" s="132"/>
      <c r="GN90" s="132"/>
      <c r="GO90" s="132"/>
      <c r="GP90" s="132"/>
      <c r="GQ90" s="132"/>
      <c r="GR90" s="132"/>
      <c r="GS90" s="132"/>
      <c r="GT90" s="132"/>
      <c r="GU90" s="132"/>
      <c r="GV90" s="132"/>
      <c r="GW90" s="132"/>
      <c r="GX90" s="132"/>
      <c r="GY90" s="132"/>
      <c r="GZ90" s="132"/>
      <c r="HA90" s="132"/>
      <c r="HB90" s="132"/>
      <c r="HC90" s="132"/>
      <c r="HD90" s="132"/>
      <c r="HE90" s="132"/>
      <c r="HF90" s="132"/>
      <c r="HG90" s="132"/>
      <c r="HH90" s="132"/>
      <c r="HI90" s="132"/>
      <c r="HJ90" s="132"/>
      <c r="HK90" s="132"/>
      <c r="HL90" s="132"/>
      <c r="HM90" s="132"/>
      <c r="HN90" s="132"/>
      <c r="HO90" s="132"/>
      <c r="HP90" s="132"/>
      <c r="HQ90" s="132"/>
      <c r="HR90" s="132"/>
      <c r="HS90" s="132"/>
      <c r="HT90" s="132"/>
      <c r="HU90" s="132"/>
      <c r="HV90" s="132"/>
      <c r="HW90" s="132"/>
      <c r="HX90" s="132"/>
      <c r="HY90" s="132"/>
      <c r="HZ90" s="132"/>
      <c r="IA90" s="132"/>
      <c r="IB90" s="132"/>
      <c r="IC90" s="132"/>
      <c r="ID90" s="132"/>
      <c r="IE90" s="132"/>
      <c r="IF90" s="132"/>
      <c r="IG90" s="132"/>
      <c r="IH90" s="132"/>
      <c r="II90" s="132"/>
      <c r="IJ90" s="132"/>
      <c r="IK90" s="132"/>
      <c r="IL90" s="132"/>
      <c r="IM90" s="132"/>
      <c r="IN90" s="132"/>
      <c r="IO90" s="132"/>
      <c r="IP90" s="132"/>
      <c r="IQ90" s="132"/>
      <c r="IR90" s="132"/>
      <c r="IS90" s="132"/>
      <c r="IT90" s="132"/>
      <c r="IU90" s="132"/>
      <c r="IV90" s="132"/>
    </row>
    <row r="91" spans="1:256" s="225" customFormat="1" ht="0" hidden="1" customHeight="1">
      <c r="B91" s="132"/>
      <c r="C91" s="132"/>
      <c r="D91" s="132"/>
      <c r="E91" s="132"/>
      <c r="F91" s="132"/>
      <c r="G91" s="132"/>
      <c r="H91" s="132"/>
      <c r="I91" s="132"/>
      <c r="J91" s="132"/>
      <c r="K91" s="132"/>
      <c r="L91" s="132"/>
      <c r="M91" s="132"/>
      <c r="N91" s="132"/>
      <c r="O91" s="132"/>
      <c r="P91" s="132"/>
      <c r="Q91" s="132"/>
      <c r="R91" s="132"/>
      <c r="S91" s="132"/>
      <c r="T91" s="132"/>
      <c r="U91" s="132"/>
      <c r="V91" s="132"/>
      <c r="W91" s="132"/>
      <c r="X91" s="132"/>
      <c r="Y91" s="132"/>
      <c r="Z91" s="132"/>
      <c r="AA91" s="132"/>
      <c r="AB91" s="132"/>
      <c r="AC91" s="132"/>
      <c r="AD91" s="132"/>
      <c r="AE91" s="132"/>
      <c r="AF91" s="132"/>
      <c r="AG91" s="132"/>
      <c r="AH91" s="132"/>
      <c r="AI91" s="132"/>
      <c r="AJ91" s="132"/>
      <c r="AK91" s="132"/>
      <c r="AL91" s="132"/>
      <c r="AM91" s="132"/>
      <c r="AN91" s="132"/>
      <c r="AO91" s="132"/>
      <c r="AP91" s="132"/>
      <c r="AQ91" s="132"/>
      <c r="AR91" s="132"/>
      <c r="AS91" s="132"/>
      <c r="AT91" s="132"/>
      <c r="AU91" s="132"/>
      <c r="AV91" s="132"/>
      <c r="AW91" s="132"/>
      <c r="AX91" s="132"/>
      <c r="AY91" s="132"/>
      <c r="AZ91" s="132"/>
      <c r="BA91" s="132"/>
      <c r="BB91" s="132"/>
      <c r="BC91" s="132"/>
      <c r="BD91" s="132"/>
      <c r="BE91" s="132"/>
      <c r="BF91" s="132"/>
      <c r="BG91" s="132"/>
      <c r="BH91" s="132"/>
      <c r="BI91" s="132"/>
      <c r="BJ91" s="132"/>
      <c r="BK91" s="132"/>
      <c r="BL91" s="132"/>
      <c r="BM91" s="132"/>
      <c r="BN91" s="132"/>
      <c r="BO91" s="132"/>
      <c r="BP91" s="132"/>
      <c r="BQ91" s="132"/>
      <c r="BR91" s="132"/>
      <c r="BS91" s="132"/>
      <c r="BT91" s="132"/>
      <c r="BU91" s="132"/>
      <c r="BV91" s="132"/>
      <c r="BW91" s="132"/>
      <c r="BX91" s="132"/>
      <c r="BY91" s="132"/>
      <c r="BZ91" s="132"/>
      <c r="CA91" s="132"/>
      <c r="CB91" s="132"/>
      <c r="CC91" s="132"/>
      <c r="CD91" s="132"/>
      <c r="CE91" s="132"/>
      <c r="CF91" s="132"/>
      <c r="CG91" s="132"/>
      <c r="CH91" s="132"/>
      <c r="CI91" s="132"/>
      <c r="CJ91" s="132"/>
      <c r="CK91" s="132"/>
      <c r="CL91" s="132"/>
      <c r="CM91" s="132"/>
      <c r="CN91" s="132"/>
      <c r="CO91" s="132"/>
      <c r="CP91" s="132"/>
      <c r="CQ91" s="132"/>
      <c r="CR91" s="132"/>
      <c r="CS91" s="132"/>
      <c r="CT91" s="132"/>
      <c r="CU91" s="132"/>
      <c r="CV91" s="132"/>
      <c r="CW91" s="132"/>
      <c r="CX91" s="132"/>
      <c r="CY91" s="132"/>
      <c r="CZ91" s="132"/>
      <c r="DA91" s="132"/>
      <c r="DB91" s="132"/>
      <c r="DC91" s="132"/>
      <c r="DD91" s="132"/>
      <c r="DE91" s="132"/>
      <c r="DF91" s="132"/>
      <c r="DG91" s="132"/>
      <c r="DH91" s="132"/>
      <c r="DI91" s="132"/>
      <c r="DJ91" s="132"/>
      <c r="DK91" s="132"/>
      <c r="DL91" s="132"/>
      <c r="DM91" s="132"/>
      <c r="DN91" s="132"/>
      <c r="DO91" s="132"/>
      <c r="DP91" s="132"/>
      <c r="DQ91" s="132"/>
      <c r="DR91" s="132"/>
      <c r="DS91" s="132"/>
      <c r="DT91" s="132"/>
      <c r="DU91" s="132"/>
      <c r="DV91" s="132"/>
      <c r="DW91" s="132"/>
      <c r="DX91" s="132"/>
      <c r="DY91" s="132"/>
      <c r="DZ91" s="132"/>
      <c r="EA91" s="132"/>
      <c r="EB91" s="132"/>
      <c r="EC91" s="132"/>
      <c r="ED91" s="132"/>
      <c r="EE91" s="132"/>
      <c r="EF91" s="132"/>
      <c r="EG91" s="132"/>
      <c r="EH91" s="132"/>
      <c r="EI91" s="132"/>
      <c r="EJ91" s="132"/>
      <c r="EK91" s="132"/>
      <c r="EL91" s="132"/>
      <c r="EM91" s="132"/>
      <c r="EN91" s="132"/>
      <c r="EO91" s="132"/>
      <c r="EP91" s="132"/>
      <c r="EQ91" s="132"/>
      <c r="ER91" s="132"/>
      <c r="ES91" s="132"/>
      <c r="ET91" s="132"/>
      <c r="EU91" s="132"/>
      <c r="EV91" s="132"/>
      <c r="EW91" s="132"/>
      <c r="EX91" s="132"/>
      <c r="EY91" s="132"/>
      <c r="EZ91" s="132"/>
      <c r="FA91" s="132"/>
      <c r="FB91" s="132"/>
      <c r="FC91" s="132"/>
      <c r="FD91" s="132"/>
      <c r="FE91" s="132"/>
      <c r="FF91" s="132"/>
      <c r="FG91" s="132"/>
      <c r="FH91" s="132"/>
      <c r="FI91" s="132"/>
      <c r="FJ91" s="132"/>
      <c r="FK91" s="132"/>
      <c r="FL91" s="132"/>
      <c r="FM91" s="132"/>
      <c r="FN91" s="132"/>
      <c r="FO91" s="132"/>
      <c r="FP91" s="132"/>
      <c r="FQ91" s="132"/>
      <c r="FR91" s="132"/>
      <c r="FS91" s="132"/>
      <c r="FT91" s="132"/>
      <c r="FU91" s="132"/>
      <c r="FV91" s="132"/>
      <c r="FW91" s="132"/>
      <c r="FX91" s="132"/>
      <c r="FY91" s="132"/>
      <c r="FZ91" s="132"/>
      <c r="GA91" s="132"/>
      <c r="GB91" s="132"/>
      <c r="GC91" s="132"/>
      <c r="GD91" s="132"/>
      <c r="GE91" s="132"/>
      <c r="GF91" s="132"/>
      <c r="GG91" s="132"/>
      <c r="GH91" s="132"/>
      <c r="GI91" s="132"/>
      <c r="GJ91" s="132"/>
      <c r="GK91" s="132"/>
      <c r="GL91" s="132"/>
      <c r="GM91" s="132"/>
      <c r="GN91" s="132"/>
      <c r="GO91" s="132"/>
      <c r="GP91" s="132"/>
      <c r="GQ91" s="132"/>
      <c r="GR91" s="132"/>
      <c r="GS91" s="132"/>
      <c r="GT91" s="132"/>
      <c r="GU91" s="132"/>
      <c r="GV91" s="132"/>
      <c r="GW91" s="132"/>
      <c r="GX91" s="132"/>
      <c r="GY91" s="132"/>
      <c r="GZ91" s="132"/>
      <c r="HA91" s="132"/>
      <c r="HB91" s="132"/>
      <c r="HC91" s="132"/>
      <c r="HD91" s="132"/>
      <c r="HE91" s="132"/>
      <c r="HF91" s="132"/>
      <c r="HG91" s="132"/>
      <c r="HH91" s="132"/>
      <c r="HI91" s="132"/>
      <c r="HJ91" s="132"/>
      <c r="HK91" s="132"/>
      <c r="HL91" s="132"/>
      <c r="HM91" s="132"/>
      <c r="HN91" s="132"/>
      <c r="HO91" s="132"/>
      <c r="HP91" s="132"/>
      <c r="HQ91" s="132"/>
      <c r="HR91" s="132"/>
      <c r="HS91" s="132"/>
      <c r="HT91" s="132"/>
      <c r="HU91" s="132"/>
      <c r="HV91" s="132"/>
      <c r="HW91" s="132"/>
      <c r="HX91" s="132"/>
      <c r="HY91" s="132"/>
      <c r="HZ91" s="132"/>
      <c r="IA91" s="132"/>
      <c r="IB91" s="132"/>
      <c r="IC91" s="132"/>
      <c r="ID91" s="132"/>
      <c r="IE91" s="132"/>
      <c r="IF91" s="132"/>
      <c r="IG91" s="132"/>
      <c r="IH91" s="132"/>
      <c r="II91" s="132"/>
      <c r="IJ91" s="132"/>
      <c r="IK91" s="132"/>
      <c r="IL91" s="132"/>
      <c r="IM91" s="132"/>
      <c r="IN91" s="132"/>
      <c r="IO91" s="132"/>
      <c r="IP91" s="132"/>
      <c r="IQ91" s="132"/>
      <c r="IR91" s="132"/>
      <c r="IS91" s="132"/>
      <c r="IT91" s="132"/>
      <c r="IU91" s="132"/>
      <c r="IV91" s="132"/>
    </row>
    <row r="92" spans="1:256" s="225" customFormat="1" ht="0" hidden="1" customHeight="1">
      <c r="B92" s="132"/>
      <c r="C92" s="132"/>
      <c r="D92" s="132"/>
      <c r="E92" s="132"/>
      <c r="F92" s="132"/>
      <c r="G92" s="132"/>
      <c r="H92" s="132"/>
      <c r="I92" s="132"/>
      <c r="J92" s="132"/>
      <c r="K92" s="132"/>
      <c r="L92" s="132"/>
      <c r="M92" s="132"/>
      <c r="N92" s="132"/>
      <c r="O92" s="132"/>
      <c r="P92" s="132"/>
      <c r="Q92" s="132"/>
      <c r="R92" s="132"/>
      <c r="S92" s="132"/>
      <c r="T92" s="132"/>
      <c r="U92" s="132"/>
      <c r="V92" s="132"/>
      <c r="W92" s="132"/>
      <c r="X92" s="132"/>
      <c r="Y92" s="132"/>
      <c r="Z92" s="132"/>
      <c r="AA92" s="132"/>
      <c r="AB92" s="132"/>
      <c r="AC92" s="132"/>
      <c r="AD92" s="132"/>
      <c r="AE92" s="132"/>
      <c r="AF92" s="132"/>
      <c r="AG92" s="132"/>
      <c r="AH92" s="132"/>
      <c r="AI92" s="132"/>
      <c r="AJ92" s="132"/>
      <c r="AK92" s="132"/>
      <c r="AL92" s="132"/>
      <c r="AM92" s="132"/>
      <c r="AN92" s="132"/>
      <c r="AO92" s="132"/>
      <c r="AP92" s="132"/>
      <c r="AQ92" s="132"/>
      <c r="AR92" s="132"/>
      <c r="AS92" s="132"/>
      <c r="AT92" s="132"/>
      <c r="AU92" s="132"/>
      <c r="AV92" s="132"/>
      <c r="AW92" s="132"/>
      <c r="AX92" s="132"/>
      <c r="AY92" s="132"/>
      <c r="AZ92" s="132"/>
      <c r="BA92" s="132"/>
      <c r="BB92" s="132"/>
      <c r="BC92" s="132"/>
      <c r="BD92" s="132"/>
      <c r="BE92" s="132"/>
      <c r="BF92" s="132"/>
      <c r="BG92" s="132"/>
      <c r="BH92" s="132"/>
      <c r="BI92" s="132"/>
      <c r="BJ92" s="132"/>
      <c r="BK92" s="132"/>
      <c r="BL92" s="132"/>
      <c r="BM92" s="132"/>
      <c r="BN92" s="132"/>
      <c r="BO92" s="132"/>
      <c r="BP92" s="132"/>
      <c r="BQ92" s="132"/>
      <c r="BR92" s="132"/>
      <c r="BS92" s="132"/>
      <c r="BT92" s="132"/>
      <c r="BU92" s="132"/>
      <c r="BV92" s="132"/>
      <c r="BW92" s="132"/>
      <c r="BX92" s="132"/>
      <c r="BY92" s="132"/>
      <c r="BZ92" s="132"/>
      <c r="CA92" s="132"/>
      <c r="CB92" s="132"/>
      <c r="CC92" s="132"/>
      <c r="CD92" s="132"/>
      <c r="CE92" s="132"/>
      <c r="CF92" s="132"/>
      <c r="CG92" s="132"/>
      <c r="CH92" s="132"/>
      <c r="CI92" s="132"/>
      <c r="CJ92" s="132"/>
      <c r="CK92" s="132"/>
      <c r="CL92" s="132"/>
      <c r="CM92" s="132"/>
      <c r="CN92" s="132"/>
      <c r="CO92" s="132"/>
      <c r="CP92" s="132"/>
      <c r="CQ92" s="132"/>
      <c r="CR92" s="132"/>
      <c r="CS92" s="132"/>
      <c r="CT92" s="132"/>
      <c r="CU92" s="132"/>
      <c r="CV92" s="132"/>
      <c r="CW92" s="132"/>
      <c r="CX92" s="132"/>
      <c r="CY92" s="132"/>
      <c r="CZ92" s="132"/>
      <c r="DA92" s="132"/>
      <c r="DB92" s="132"/>
      <c r="DC92" s="132"/>
      <c r="DD92" s="132"/>
      <c r="DE92" s="132"/>
      <c r="DF92" s="132"/>
      <c r="DG92" s="132"/>
      <c r="DH92" s="132"/>
      <c r="DI92" s="132"/>
      <c r="DJ92" s="132"/>
      <c r="DK92" s="132"/>
      <c r="DL92" s="132"/>
      <c r="DM92" s="132"/>
      <c r="DN92" s="132"/>
      <c r="DO92" s="132"/>
      <c r="DP92" s="132"/>
      <c r="DQ92" s="132"/>
      <c r="DR92" s="132"/>
      <c r="DS92" s="132"/>
      <c r="DT92" s="132"/>
      <c r="DU92" s="132"/>
      <c r="DV92" s="132"/>
      <c r="DW92" s="132"/>
      <c r="DX92" s="132"/>
      <c r="DY92" s="132"/>
      <c r="DZ92" s="132"/>
      <c r="EA92" s="132"/>
      <c r="EB92" s="132"/>
      <c r="EC92" s="132"/>
      <c r="ED92" s="132"/>
      <c r="EE92" s="132"/>
      <c r="EF92" s="132"/>
      <c r="EG92" s="132"/>
      <c r="EH92" s="132"/>
      <c r="EI92" s="132"/>
      <c r="EJ92" s="132"/>
      <c r="EK92" s="132"/>
      <c r="EL92" s="132"/>
      <c r="EM92" s="132"/>
      <c r="EN92" s="132"/>
      <c r="EO92" s="132"/>
      <c r="EP92" s="132"/>
      <c r="EQ92" s="132"/>
      <c r="ER92" s="132"/>
      <c r="ES92" s="132"/>
      <c r="ET92" s="132"/>
      <c r="EU92" s="132"/>
      <c r="EV92" s="132"/>
      <c r="EW92" s="132"/>
      <c r="EX92" s="132"/>
      <c r="EY92" s="132"/>
      <c r="EZ92" s="132"/>
      <c r="FA92" s="132"/>
      <c r="FB92" s="132"/>
      <c r="FC92" s="132"/>
      <c r="FD92" s="132"/>
      <c r="FE92" s="132"/>
      <c r="FF92" s="132"/>
      <c r="FG92" s="132"/>
      <c r="FH92" s="132"/>
      <c r="FI92" s="132"/>
      <c r="FJ92" s="132"/>
      <c r="FK92" s="132"/>
      <c r="FL92" s="132"/>
      <c r="FM92" s="132"/>
      <c r="FN92" s="132"/>
      <c r="FO92" s="132"/>
      <c r="FP92" s="132"/>
      <c r="FQ92" s="132"/>
      <c r="FR92" s="132"/>
      <c r="FS92" s="132"/>
      <c r="FT92" s="132"/>
      <c r="FU92" s="132"/>
      <c r="FV92" s="132"/>
      <c r="FW92" s="132"/>
      <c r="FX92" s="132"/>
      <c r="FY92" s="132"/>
      <c r="FZ92" s="132"/>
      <c r="GA92" s="132"/>
      <c r="GB92" s="132"/>
      <c r="GC92" s="132"/>
      <c r="GD92" s="132"/>
      <c r="GE92" s="132"/>
      <c r="GF92" s="132"/>
      <c r="GG92" s="132"/>
      <c r="GH92" s="132"/>
      <c r="GI92" s="132"/>
      <c r="GJ92" s="132"/>
      <c r="GK92" s="132"/>
      <c r="GL92" s="132"/>
      <c r="GM92" s="132"/>
      <c r="GN92" s="132"/>
      <c r="GO92" s="132"/>
      <c r="GP92" s="132"/>
      <c r="GQ92" s="132"/>
      <c r="GR92" s="132"/>
      <c r="GS92" s="132"/>
      <c r="GT92" s="132"/>
      <c r="GU92" s="132"/>
      <c r="GV92" s="132"/>
      <c r="GW92" s="132"/>
      <c r="GX92" s="132"/>
      <c r="GY92" s="132"/>
      <c r="GZ92" s="132"/>
      <c r="HA92" s="132"/>
      <c r="HB92" s="132"/>
      <c r="HC92" s="132"/>
      <c r="HD92" s="132"/>
      <c r="HE92" s="132"/>
      <c r="HF92" s="132"/>
      <c r="HG92" s="132"/>
      <c r="HH92" s="132"/>
      <c r="HI92" s="132"/>
      <c r="HJ92" s="132"/>
      <c r="HK92" s="132"/>
      <c r="HL92" s="132"/>
      <c r="HM92" s="132"/>
      <c r="HN92" s="132"/>
      <c r="HO92" s="132"/>
      <c r="HP92" s="132"/>
      <c r="HQ92" s="132"/>
      <c r="HR92" s="132"/>
      <c r="HS92" s="132"/>
      <c r="HT92" s="132"/>
      <c r="HU92" s="132"/>
      <c r="HV92" s="132"/>
      <c r="HW92" s="132"/>
      <c r="HX92" s="132"/>
      <c r="HY92" s="132"/>
      <c r="HZ92" s="132"/>
      <c r="IA92" s="132"/>
      <c r="IB92" s="132"/>
      <c r="IC92" s="132"/>
      <c r="ID92" s="132"/>
      <c r="IE92" s="132"/>
      <c r="IF92" s="132"/>
      <c r="IG92" s="132"/>
      <c r="IH92" s="132"/>
      <c r="II92" s="132"/>
      <c r="IJ92" s="132"/>
      <c r="IK92" s="132"/>
      <c r="IL92" s="132"/>
      <c r="IM92" s="132"/>
      <c r="IN92" s="132"/>
      <c r="IO92" s="132"/>
      <c r="IP92" s="132"/>
      <c r="IQ92" s="132"/>
      <c r="IR92" s="132"/>
      <c r="IS92" s="132"/>
      <c r="IT92" s="132"/>
      <c r="IU92" s="132"/>
      <c r="IV92" s="132"/>
    </row>
    <row r="93" spans="1:256" s="225" customFormat="1" ht="0" hidden="1" customHeight="1">
      <c r="B93" s="132"/>
      <c r="C93" s="132"/>
      <c r="D93" s="132"/>
      <c r="E93" s="132"/>
      <c r="F93" s="132"/>
      <c r="G93" s="132"/>
      <c r="H93" s="132"/>
      <c r="I93" s="132"/>
      <c r="J93" s="132"/>
      <c r="K93" s="132"/>
      <c r="L93" s="132"/>
      <c r="M93" s="132"/>
      <c r="N93" s="132"/>
      <c r="O93" s="132"/>
      <c r="P93" s="132"/>
      <c r="Q93" s="132"/>
      <c r="R93" s="132"/>
      <c r="S93" s="132"/>
      <c r="T93" s="132"/>
      <c r="U93" s="132"/>
      <c r="V93" s="132"/>
      <c r="W93" s="132"/>
      <c r="X93" s="132"/>
      <c r="Y93" s="132"/>
      <c r="Z93" s="132"/>
      <c r="AA93" s="132"/>
      <c r="AB93" s="132"/>
      <c r="AC93" s="132"/>
      <c r="AD93" s="132"/>
      <c r="AE93" s="132"/>
      <c r="AF93" s="132"/>
      <c r="AG93" s="132"/>
      <c r="AH93" s="132"/>
      <c r="AI93" s="132"/>
      <c r="AJ93" s="132"/>
      <c r="AK93" s="132"/>
      <c r="AL93" s="132"/>
      <c r="AM93" s="132"/>
      <c r="AN93" s="132"/>
      <c r="AO93" s="132"/>
      <c r="AP93" s="132"/>
      <c r="AQ93" s="132"/>
      <c r="AR93" s="132"/>
      <c r="AS93" s="132"/>
      <c r="AT93" s="132"/>
      <c r="AU93" s="132"/>
      <c r="AV93" s="132"/>
      <c r="AW93" s="132"/>
      <c r="AX93" s="132"/>
      <c r="AY93" s="132"/>
      <c r="AZ93" s="132"/>
      <c r="BA93" s="132"/>
      <c r="BB93" s="132"/>
      <c r="BC93" s="132"/>
      <c r="BD93" s="132"/>
      <c r="BE93" s="132"/>
      <c r="BF93" s="132"/>
      <c r="BG93" s="132"/>
      <c r="BH93" s="132"/>
      <c r="BI93" s="132"/>
      <c r="BJ93" s="132"/>
      <c r="BK93" s="132"/>
      <c r="BL93" s="132"/>
      <c r="BM93" s="132"/>
      <c r="BN93" s="132"/>
      <c r="BO93" s="132"/>
      <c r="BP93" s="132"/>
      <c r="BQ93" s="132"/>
      <c r="BR93" s="132"/>
      <c r="BS93" s="132"/>
      <c r="BT93" s="132"/>
      <c r="BU93" s="132"/>
      <c r="BV93" s="132"/>
      <c r="BW93" s="132"/>
      <c r="BX93" s="132"/>
      <c r="BY93" s="132"/>
      <c r="BZ93" s="132"/>
      <c r="CA93" s="132"/>
      <c r="CB93" s="132"/>
      <c r="CC93" s="132"/>
      <c r="CD93" s="132"/>
      <c r="CE93" s="132"/>
      <c r="CF93" s="132"/>
      <c r="CG93" s="132"/>
      <c r="CH93" s="132"/>
      <c r="CI93" s="132"/>
      <c r="CJ93" s="132"/>
      <c r="CK93" s="132"/>
      <c r="CL93" s="132"/>
      <c r="CM93" s="132"/>
      <c r="CN93" s="132"/>
      <c r="CO93" s="132"/>
      <c r="CP93" s="132"/>
      <c r="CQ93" s="132"/>
      <c r="CR93" s="132"/>
      <c r="CS93" s="132"/>
      <c r="CT93" s="132"/>
      <c r="CU93" s="132"/>
      <c r="CV93" s="132"/>
      <c r="CW93" s="132"/>
      <c r="CX93" s="132"/>
      <c r="CY93" s="132"/>
      <c r="CZ93" s="132"/>
      <c r="DA93" s="132"/>
      <c r="DB93" s="132"/>
      <c r="DC93" s="132"/>
      <c r="DD93" s="132"/>
      <c r="DE93" s="132"/>
      <c r="DF93" s="132"/>
      <c r="DG93" s="132"/>
      <c r="DH93" s="132"/>
      <c r="DI93" s="132"/>
      <c r="DJ93" s="132"/>
      <c r="DK93" s="132"/>
      <c r="DL93" s="132"/>
      <c r="DM93" s="132"/>
      <c r="DN93" s="132"/>
      <c r="DO93" s="132"/>
      <c r="DP93" s="132"/>
      <c r="DQ93" s="132"/>
      <c r="DR93" s="132"/>
      <c r="DS93" s="132"/>
      <c r="DT93" s="132"/>
      <c r="DU93" s="132"/>
      <c r="DV93" s="132"/>
      <c r="DW93" s="132"/>
      <c r="DX93" s="132"/>
      <c r="DY93" s="132"/>
      <c r="DZ93" s="132"/>
      <c r="EA93" s="132"/>
      <c r="EB93" s="132"/>
      <c r="EC93" s="132"/>
      <c r="ED93" s="132"/>
      <c r="EE93" s="132"/>
      <c r="EF93" s="132"/>
      <c r="EG93" s="132"/>
      <c r="EH93" s="132"/>
      <c r="EI93" s="132"/>
      <c r="EJ93" s="132"/>
      <c r="EK93" s="132"/>
      <c r="EL93" s="132"/>
      <c r="EM93" s="132"/>
      <c r="EN93" s="132"/>
      <c r="EO93" s="132"/>
      <c r="EP93" s="132"/>
      <c r="EQ93" s="132"/>
      <c r="ER93" s="132"/>
      <c r="ES93" s="132"/>
      <c r="ET93" s="132"/>
      <c r="EU93" s="132"/>
      <c r="EV93" s="132"/>
      <c r="EW93" s="132"/>
      <c r="EX93" s="132"/>
      <c r="EY93" s="132"/>
      <c r="EZ93" s="132"/>
      <c r="FA93" s="132"/>
      <c r="FB93" s="132"/>
      <c r="FC93" s="132"/>
      <c r="FD93" s="132"/>
      <c r="FE93" s="132"/>
      <c r="FF93" s="132"/>
      <c r="FG93" s="132"/>
      <c r="FH93" s="132"/>
      <c r="FI93" s="132"/>
      <c r="FJ93" s="132"/>
      <c r="FK93" s="132"/>
      <c r="FL93" s="132"/>
      <c r="FM93" s="132"/>
      <c r="FN93" s="132"/>
      <c r="FO93" s="132"/>
      <c r="FP93" s="132"/>
      <c r="FQ93" s="132"/>
      <c r="FR93" s="132"/>
      <c r="FS93" s="132"/>
      <c r="FT93" s="132"/>
      <c r="FU93" s="132"/>
      <c r="FV93" s="132"/>
      <c r="FW93" s="132"/>
      <c r="FX93" s="132"/>
      <c r="FY93" s="132"/>
      <c r="FZ93" s="132"/>
      <c r="GA93" s="132"/>
      <c r="GB93" s="132"/>
      <c r="GC93" s="132"/>
      <c r="GD93" s="132"/>
      <c r="GE93" s="132"/>
      <c r="GF93" s="132"/>
      <c r="GG93" s="132"/>
      <c r="GH93" s="132"/>
      <c r="GI93" s="132"/>
      <c r="GJ93" s="132"/>
      <c r="GK93" s="132"/>
      <c r="GL93" s="132"/>
      <c r="GM93" s="132"/>
      <c r="GN93" s="132"/>
      <c r="GO93" s="132"/>
      <c r="GP93" s="132"/>
      <c r="GQ93" s="132"/>
      <c r="GR93" s="132"/>
      <c r="GS93" s="132"/>
      <c r="GT93" s="132"/>
      <c r="GU93" s="132"/>
      <c r="GV93" s="132"/>
      <c r="GW93" s="132"/>
      <c r="GX93" s="132"/>
      <c r="GY93" s="132"/>
      <c r="GZ93" s="132"/>
      <c r="HA93" s="132"/>
      <c r="HB93" s="132"/>
      <c r="HC93" s="132"/>
      <c r="HD93" s="132"/>
      <c r="HE93" s="132"/>
      <c r="HF93" s="132"/>
      <c r="HG93" s="132"/>
      <c r="HH93" s="132"/>
      <c r="HI93" s="132"/>
      <c r="HJ93" s="132"/>
      <c r="HK93" s="132"/>
      <c r="HL93" s="132"/>
      <c r="HM93" s="132"/>
      <c r="HN93" s="132"/>
      <c r="HO93" s="132"/>
      <c r="HP93" s="132"/>
      <c r="HQ93" s="132"/>
      <c r="HR93" s="132"/>
      <c r="HS93" s="132"/>
      <c r="HT93" s="132"/>
      <c r="HU93" s="132"/>
      <c r="HV93" s="132"/>
      <c r="HW93" s="132"/>
      <c r="HX93" s="132"/>
      <c r="HY93" s="132"/>
      <c r="HZ93" s="132"/>
      <c r="IA93" s="132"/>
      <c r="IB93" s="132"/>
      <c r="IC93" s="132"/>
      <c r="ID93" s="132"/>
      <c r="IE93" s="132"/>
      <c r="IF93" s="132"/>
      <c r="IG93" s="132"/>
      <c r="IH93" s="132"/>
      <c r="II93" s="132"/>
      <c r="IJ93" s="132"/>
      <c r="IK93" s="132"/>
      <c r="IL93" s="132"/>
      <c r="IM93" s="132"/>
      <c r="IN93" s="132"/>
      <c r="IO93" s="132"/>
      <c r="IP93" s="132"/>
      <c r="IQ93" s="132"/>
      <c r="IR93" s="132"/>
      <c r="IS93" s="132"/>
      <c r="IT93" s="132"/>
      <c r="IU93" s="132"/>
      <c r="IV93" s="132"/>
    </row>
    <row r="94" spans="1:256" s="225" customFormat="1" ht="0" hidden="1" customHeight="1">
      <c r="B94" s="132"/>
      <c r="C94" s="132"/>
      <c r="D94" s="132"/>
      <c r="E94" s="132"/>
      <c r="F94" s="132"/>
      <c r="G94" s="132"/>
      <c r="H94" s="132"/>
      <c r="I94" s="132"/>
      <c r="J94" s="132"/>
      <c r="K94" s="132"/>
      <c r="L94" s="132"/>
      <c r="M94" s="132"/>
      <c r="N94" s="132"/>
      <c r="O94" s="132"/>
      <c r="P94" s="132"/>
      <c r="Q94" s="132"/>
      <c r="R94" s="132"/>
      <c r="S94" s="132"/>
      <c r="T94" s="132"/>
      <c r="U94" s="132"/>
      <c r="V94" s="132"/>
      <c r="W94" s="132"/>
      <c r="X94" s="132"/>
      <c r="Y94" s="132"/>
      <c r="Z94" s="132"/>
      <c r="AA94" s="132"/>
      <c r="AB94" s="132"/>
      <c r="AC94" s="132"/>
      <c r="AD94" s="132"/>
      <c r="AE94" s="132"/>
      <c r="AF94" s="132"/>
      <c r="AG94" s="132"/>
      <c r="AH94" s="132"/>
      <c r="AI94" s="132"/>
      <c r="AJ94" s="132"/>
      <c r="AK94" s="132"/>
      <c r="AL94" s="132"/>
      <c r="AM94" s="132"/>
      <c r="AN94" s="132"/>
      <c r="AO94" s="132"/>
      <c r="AP94" s="132"/>
      <c r="AQ94" s="132"/>
      <c r="AR94" s="132"/>
      <c r="AS94" s="132"/>
      <c r="AT94" s="132"/>
      <c r="AU94" s="132"/>
      <c r="AV94" s="132"/>
      <c r="AW94" s="132"/>
      <c r="AX94" s="132"/>
      <c r="AY94" s="132"/>
      <c r="AZ94" s="132"/>
      <c r="BA94" s="132"/>
      <c r="BB94" s="132"/>
      <c r="BC94" s="132"/>
      <c r="BD94" s="132"/>
      <c r="BE94" s="132"/>
      <c r="BF94" s="132"/>
      <c r="BG94" s="132"/>
      <c r="BH94" s="132"/>
      <c r="BI94" s="132"/>
      <c r="BJ94" s="132"/>
      <c r="BK94" s="132"/>
      <c r="BL94" s="132"/>
      <c r="BM94" s="132"/>
      <c r="BN94" s="132"/>
      <c r="BO94" s="132"/>
      <c r="BP94" s="132"/>
      <c r="BQ94" s="132"/>
      <c r="BR94" s="132"/>
      <c r="BS94" s="132"/>
      <c r="BT94" s="132"/>
      <c r="BU94" s="132"/>
      <c r="BV94" s="132"/>
      <c r="BW94" s="132"/>
      <c r="BX94" s="132"/>
      <c r="BY94" s="132"/>
      <c r="BZ94" s="132"/>
      <c r="CA94" s="132"/>
      <c r="CB94" s="132"/>
      <c r="CC94" s="132"/>
      <c r="CD94" s="132"/>
      <c r="CE94" s="132"/>
      <c r="CF94" s="132"/>
      <c r="CG94" s="132"/>
      <c r="CH94" s="132"/>
      <c r="CI94" s="132"/>
      <c r="CJ94" s="132"/>
      <c r="CK94" s="132"/>
      <c r="CL94" s="132"/>
      <c r="CM94" s="132"/>
      <c r="CN94" s="132"/>
      <c r="CO94" s="132"/>
      <c r="CP94" s="132"/>
      <c r="CQ94" s="132"/>
      <c r="CR94" s="132"/>
      <c r="CS94" s="132"/>
      <c r="CT94" s="132"/>
      <c r="CU94" s="132"/>
      <c r="CV94" s="132"/>
      <c r="CW94" s="132"/>
      <c r="CX94" s="132"/>
      <c r="CY94" s="132"/>
      <c r="CZ94" s="132"/>
      <c r="DA94" s="132"/>
      <c r="DB94" s="132"/>
      <c r="DC94" s="132"/>
      <c r="DD94" s="132"/>
      <c r="DE94" s="132"/>
      <c r="DF94" s="132"/>
      <c r="DG94" s="132"/>
      <c r="DH94" s="132"/>
      <c r="DI94" s="132"/>
      <c r="DJ94" s="132"/>
      <c r="DK94" s="132"/>
      <c r="DL94" s="132"/>
      <c r="DM94" s="132"/>
      <c r="DN94" s="132"/>
      <c r="DO94" s="132"/>
      <c r="DP94" s="132"/>
      <c r="DQ94" s="132"/>
      <c r="DR94" s="132"/>
      <c r="DS94" s="132"/>
      <c r="DT94" s="132"/>
      <c r="DU94" s="132"/>
      <c r="DV94" s="132"/>
      <c r="DW94" s="132"/>
      <c r="DX94" s="132"/>
      <c r="DY94" s="132"/>
      <c r="DZ94" s="132"/>
      <c r="EA94" s="132"/>
      <c r="EB94" s="132"/>
      <c r="EC94" s="132"/>
      <c r="ED94" s="132"/>
      <c r="EE94" s="132"/>
      <c r="EF94" s="132"/>
      <c r="EG94" s="132"/>
      <c r="EH94" s="132"/>
      <c r="EI94" s="132"/>
      <c r="EJ94" s="132"/>
      <c r="EK94" s="132"/>
      <c r="EL94" s="132"/>
      <c r="EM94" s="132"/>
      <c r="EN94" s="132"/>
      <c r="EO94" s="132"/>
      <c r="EP94" s="132"/>
      <c r="EQ94" s="132"/>
      <c r="ER94" s="132"/>
      <c r="ES94" s="132"/>
      <c r="ET94" s="132"/>
      <c r="EU94" s="132"/>
      <c r="EV94" s="132"/>
      <c r="EW94" s="132"/>
      <c r="EX94" s="132"/>
      <c r="EY94" s="132"/>
      <c r="EZ94" s="132"/>
      <c r="FA94" s="132"/>
      <c r="FB94" s="132"/>
      <c r="FC94" s="132"/>
      <c r="FD94" s="132"/>
      <c r="FE94" s="132"/>
      <c r="FF94" s="132"/>
      <c r="FG94" s="132"/>
      <c r="FH94" s="132"/>
      <c r="FI94" s="132"/>
      <c r="FJ94" s="132"/>
      <c r="FK94" s="132"/>
      <c r="FL94" s="132"/>
      <c r="FM94" s="132"/>
      <c r="FN94" s="132"/>
      <c r="FO94" s="132"/>
      <c r="FP94" s="132"/>
      <c r="FQ94" s="132"/>
      <c r="FR94" s="132"/>
      <c r="FS94" s="132"/>
      <c r="FT94" s="132"/>
      <c r="FU94" s="132"/>
      <c r="FV94" s="132"/>
      <c r="FW94" s="132"/>
      <c r="FX94" s="132"/>
      <c r="FY94" s="132"/>
      <c r="FZ94" s="132"/>
      <c r="GA94" s="132"/>
      <c r="GB94" s="132"/>
      <c r="GC94" s="132"/>
      <c r="GD94" s="132"/>
      <c r="GE94" s="132"/>
      <c r="GF94" s="132"/>
      <c r="GG94" s="132"/>
      <c r="GH94" s="132"/>
      <c r="GI94" s="132"/>
      <c r="GJ94" s="132"/>
      <c r="GK94" s="132"/>
      <c r="GL94" s="132"/>
      <c r="GM94" s="132"/>
      <c r="GN94" s="132"/>
      <c r="GO94" s="132"/>
      <c r="GP94" s="132"/>
      <c r="GQ94" s="132"/>
      <c r="GR94" s="132"/>
      <c r="GS94" s="132"/>
      <c r="GT94" s="132"/>
      <c r="GU94" s="132"/>
      <c r="GV94" s="132"/>
      <c r="GW94" s="132"/>
      <c r="GX94" s="132"/>
      <c r="GY94" s="132"/>
      <c r="GZ94" s="132"/>
      <c r="HA94" s="132"/>
      <c r="HB94" s="132"/>
      <c r="HC94" s="132"/>
      <c r="HD94" s="132"/>
      <c r="HE94" s="132"/>
      <c r="HF94" s="132"/>
      <c r="HG94" s="132"/>
      <c r="HH94" s="132"/>
      <c r="HI94" s="132"/>
      <c r="HJ94" s="132"/>
      <c r="HK94" s="132"/>
      <c r="HL94" s="132"/>
      <c r="HM94" s="132"/>
      <c r="HN94" s="132"/>
      <c r="HO94" s="132"/>
      <c r="HP94" s="132"/>
      <c r="HQ94" s="132"/>
      <c r="HR94" s="132"/>
      <c r="HS94" s="132"/>
      <c r="HT94" s="132"/>
      <c r="HU94" s="132"/>
      <c r="HV94" s="132"/>
      <c r="HW94" s="132"/>
      <c r="HX94" s="132"/>
      <c r="HY94" s="132"/>
      <c r="HZ94" s="132"/>
      <c r="IA94" s="132"/>
      <c r="IB94" s="132"/>
      <c r="IC94" s="132"/>
      <c r="ID94" s="132"/>
      <c r="IE94" s="132"/>
      <c r="IF94" s="132"/>
      <c r="IG94" s="132"/>
      <c r="IH94" s="132"/>
      <c r="II94" s="132"/>
      <c r="IJ94" s="132"/>
      <c r="IK94" s="132"/>
      <c r="IL94" s="132"/>
      <c r="IM94" s="132"/>
      <c r="IN94" s="132"/>
      <c r="IO94" s="132"/>
      <c r="IP94" s="132"/>
      <c r="IQ94" s="132"/>
      <c r="IR94" s="132"/>
      <c r="IS94" s="132"/>
      <c r="IT94" s="132"/>
      <c r="IU94" s="132"/>
      <c r="IV94" s="132"/>
    </row>
    <row r="96" spans="1:256" s="225" customFormat="1" ht="0" hidden="1" customHeight="1">
      <c r="B96" s="132"/>
      <c r="C96" s="132"/>
      <c r="D96" s="132"/>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32"/>
      <c r="AJ96" s="132"/>
      <c r="AK96" s="132"/>
      <c r="AL96" s="132"/>
      <c r="AM96" s="132"/>
      <c r="AN96" s="132"/>
      <c r="AO96" s="132"/>
      <c r="AP96" s="132"/>
      <c r="AQ96" s="132"/>
      <c r="AR96" s="132"/>
      <c r="AS96" s="132"/>
      <c r="AT96" s="132"/>
      <c r="AU96" s="132"/>
      <c r="AV96" s="132"/>
      <c r="AW96" s="132"/>
      <c r="AX96" s="132"/>
      <c r="AY96" s="132"/>
      <c r="AZ96" s="132"/>
      <c r="BA96" s="132"/>
      <c r="BB96" s="132"/>
      <c r="BC96" s="132"/>
      <c r="BD96" s="132"/>
      <c r="BE96" s="132"/>
      <c r="BF96" s="132"/>
      <c r="BG96" s="132"/>
      <c r="BH96" s="132"/>
      <c r="BI96" s="132"/>
      <c r="BJ96" s="132"/>
      <c r="BK96" s="132"/>
      <c r="BL96" s="132"/>
      <c r="BM96" s="132"/>
      <c r="BN96" s="132"/>
      <c r="BO96" s="132"/>
      <c r="BP96" s="132"/>
      <c r="BQ96" s="132"/>
      <c r="BR96" s="132"/>
      <c r="BS96" s="132"/>
      <c r="BT96" s="132"/>
      <c r="BU96" s="132"/>
      <c r="BV96" s="132"/>
      <c r="BW96" s="132"/>
      <c r="BX96" s="132"/>
      <c r="BY96" s="132"/>
      <c r="BZ96" s="132"/>
      <c r="CA96" s="132"/>
      <c r="CB96" s="132"/>
      <c r="CC96" s="132"/>
      <c r="CD96" s="132"/>
      <c r="CE96" s="132"/>
      <c r="CF96" s="132"/>
      <c r="CG96" s="132"/>
      <c r="CH96" s="132"/>
      <c r="CI96" s="132"/>
      <c r="CJ96" s="132"/>
      <c r="CK96" s="132"/>
      <c r="CL96" s="132"/>
      <c r="CM96" s="132"/>
      <c r="CN96" s="132"/>
      <c r="CO96" s="132"/>
      <c r="CP96" s="132"/>
      <c r="CQ96" s="132"/>
      <c r="CR96" s="132"/>
      <c r="CS96" s="132"/>
      <c r="CT96" s="132"/>
      <c r="CU96" s="132"/>
      <c r="CV96" s="132"/>
      <c r="CW96" s="132"/>
      <c r="CX96" s="132"/>
      <c r="CY96" s="132"/>
      <c r="CZ96" s="132"/>
      <c r="DA96" s="132"/>
      <c r="DB96" s="132"/>
      <c r="DC96" s="132"/>
      <c r="DD96" s="132"/>
      <c r="DE96" s="132"/>
      <c r="DF96" s="132"/>
      <c r="DG96" s="132"/>
      <c r="DH96" s="132"/>
      <c r="DI96" s="132"/>
      <c r="DJ96" s="132"/>
      <c r="DK96" s="132"/>
      <c r="DL96" s="132"/>
      <c r="DM96" s="132"/>
      <c r="DN96" s="132"/>
      <c r="DO96" s="132"/>
      <c r="DP96" s="132"/>
      <c r="DQ96" s="132"/>
      <c r="DR96" s="132"/>
      <c r="DS96" s="132"/>
      <c r="DT96" s="132"/>
      <c r="DU96" s="132"/>
      <c r="DV96" s="132"/>
      <c r="DW96" s="132"/>
      <c r="DX96" s="132"/>
      <c r="DY96" s="132"/>
      <c r="DZ96" s="132"/>
      <c r="EA96" s="132"/>
      <c r="EB96" s="132"/>
      <c r="EC96" s="132"/>
      <c r="ED96" s="132"/>
      <c r="EE96" s="132"/>
      <c r="EF96" s="132"/>
      <c r="EG96" s="132"/>
      <c r="EH96" s="132"/>
      <c r="EI96" s="132"/>
      <c r="EJ96" s="132"/>
      <c r="EK96" s="132"/>
      <c r="EL96" s="132"/>
      <c r="EM96" s="132"/>
      <c r="EN96" s="132"/>
      <c r="EO96" s="132"/>
      <c r="EP96" s="132"/>
      <c r="EQ96" s="132"/>
      <c r="ER96" s="132"/>
      <c r="ES96" s="132"/>
      <c r="ET96" s="132"/>
      <c r="EU96" s="132"/>
      <c r="EV96" s="132"/>
      <c r="EW96" s="132"/>
      <c r="EX96" s="132"/>
      <c r="EY96" s="132"/>
      <c r="EZ96" s="132"/>
      <c r="FA96" s="132"/>
      <c r="FB96" s="132"/>
      <c r="FC96" s="132"/>
      <c r="FD96" s="132"/>
      <c r="FE96" s="132"/>
      <c r="FF96" s="132"/>
      <c r="FG96" s="132"/>
      <c r="FH96" s="132"/>
      <c r="FI96" s="132"/>
      <c r="FJ96" s="132"/>
      <c r="FK96" s="132"/>
      <c r="FL96" s="132"/>
      <c r="FM96" s="132"/>
      <c r="FN96" s="132"/>
      <c r="FO96" s="132"/>
      <c r="FP96" s="132"/>
      <c r="FQ96" s="132"/>
      <c r="FR96" s="132"/>
      <c r="FS96" s="132"/>
      <c r="FT96" s="132"/>
      <c r="FU96" s="132"/>
      <c r="FV96" s="132"/>
      <c r="FW96" s="132"/>
      <c r="FX96" s="132"/>
      <c r="FY96" s="132"/>
      <c r="FZ96" s="132"/>
      <c r="GA96" s="132"/>
      <c r="GB96" s="132"/>
      <c r="GC96" s="132"/>
      <c r="GD96" s="132"/>
      <c r="GE96" s="132"/>
      <c r="GF96" s="132"/>
      <c r="GG96" s="132"/>
      <c r="GH96" s="132"/>
      <c r="GI96" s="132"/>
      <c r="GJ96" s="132"/>
      <c r="GK96" s="132"/>
      <c r="GL96" s="132"/>
      <c r="GM96" s="132"/>
      <c r="GN96" s="132"/>
      <c r="GO96" s="132"/>
      <c r="GP96" s="132"/>
      <c r="GQ96" s="132"/>
      <c r="GR96" s="132"/>
      <c r="GS96" s="132"/>
      <c r="GT96" s="132"/>
      <c r="GU96" s="132"/>
      <c r="GV96" s="132"/>
      <c r="GW96" s="132"/>
      <c r="GX96" s="132"/>
      <c r="GY96" s="132"/>
      <c r="GZ96" s="132"/>
      <c r="HA96" s="132"/>
      <c r="HB96" s="132"/>
      <c r="HC96" s="132"/>
      <c r="HD96" s="132"/>
      <c r="HE96" s="132"/>
      <c r="HF96" s="132"/>
      <c r="HG96" s="132"/>
      <c r="HH96" s="132"/>
      <c r="HI96" s="132"/>
      <c r="HJ96" s="132"/>
      <c r="HK96" s="132"/>
      <c r="HL96" s="132"/>
      <c r="HM96" s="132"/>
      <c r="HN96" s="132"/>
      <c r="HO96" s="132"/>
      <c r="HP96" s="132"/>
      <c r="HQ96" s="132"/>
      <c r="HR96" s="132"/>
      <c r="HS96" s="132"/>
      <c r="HT96" s="132"/>
      <c r="HU96" s="132"/>
      <c r="HV96" s="132"/>
      <c r="HW96" s="132"/>
      <c r="HX96" s="132"/>
      <c r="HY96" s="132"/>
      <c r="HZ96" s="132"/>
      <c r="IA96" s="132"/>
      <c r="IB96" s="132"/>
      <c r="IC96" s="132"/>
      <c r="ID96" s="132"/>
      <c r="IE96" s="132"/>
      <c r="IF96" s="132"/>
      <c r="IG96" s="132"/>
      <c r="IH96" s="132"/>
      <c r="II96" s="132"/>
      <c r="IJ96" s="132"/>
      <c r="IK96" s="132"/>
      <c r="IL96" s="132"/>
      <c r="IM96" s="132"/>
      <c r="IN96" s="132"/>
      <c r="IO96" s="132"/>
      <c r="IP96" s="132"/>
      <c r="IQ96" s="132"/>
      <c r="IR96" s="132"/>
      <c r="IS96" s="132"/>
      <c r="IT96" s="132"/>
      <c r="IU96" s="132"/>
      <c r="IV96" s="132"/>
    </row>
    <row r="97" spans="2:256" s="225" customFormat="1" ht="0" hidden="1" customHeight="1">
      <c r="B97" s="132"/>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32"/>
      <c r="AD97" s="132"/>
      <c r="AE97" s="132"/>
      <c r="AF97" s="132"/>
      <c r="AG97" s="132"/>
      <c r="AH97" s="132"/>
      <c r="AI97" s="132"/>
      <c r="AJ97" s="132"/>
      <c r="AK97" s="132"/>
      <c r="AL97" s="132"/>
      <c r="AM97" s="132"/>
      <c r="AN97" s="132"/>
      <c r="AO97" s="132"/>
      <c r="AP97" s="132"/>
      <c r="AQ97" s="132"/>
      <c r="AR97" s="132"/>
      <c r="AS97" s="132"/>
      <c r="AT97" s="132"/>
      <c r="AU97" s="132"/>
      <c r="AV97" s="132"/>
      <c r="AW97" s="132"/>
      <c r="AX97" s="132"/>
      <c r="AY97" s="132"/>
      <c r="AZ97" s="132"/>
      <c r="BA97" s="132"/>
      <c r="BB97" s="132"/>
      <c r="BC97" s="132"/>
      <c r="BD97" s="132"/>
      <c r="BE97" s="132"/>
      <c r="BF97" s="132"/>
      <c r="BG97" s="132"/>
      <c r="BH97" s="132"/>
      <c r="BI97" s="132"/>
      <c r="BJ97" s="132"/>
      <c r="BK97" s="132"/>
      <c r="BL97" s="132"/>
      <c r="BM97" s="132"/>
      <c r="BN97" s="132"/>
      <c r="BO97" s="132"/>
      <c r="BP97" s="132"/>
      <c r="BQ97" s="132"/>
      <c r="BR97" s="132"/>
      <c r="BS97" s="132"/>
      <c r="BT97" s="132"/>
      <c r="BU97" s="132"/>
      <c r="BV97" s="132"/>
      <c r="BW97" s="132"/>
      <c r="BX97" s="132"/>
      <c r="BY97" s="132"/>
      <c r="BZ97" s="132"/>
      <c r="CA97" s="132"/>
      <c r="CB97" s="132"/>
      <c r="CC97" s="132"/>
      <c r="CD97" s="132"/>
      <c r="CE97" s="132"/>
      <c r="CF97" s="132"/>
      <c r="CG97" s="132"/>
      <c r="CH97" s="132"/>
      <c r="CI97" s="132"/>
      <c r="CJ97" s="132"/>
      <c r="CK97" s="132"/>
      <c r="CL97" s="132"/>
      <c r="CM97" s="132"/>
      <c r="CN97" s="132"/>
      <c r="CO97" s="132"/>
      <c r="CP97" s="132"/>
      <c r="CQ97" s="132"/>
      <c r="CR97" s="132"/>
      <c r="CS97" s="132"/>
      <c r="CT97" s="132"/>
      <c r="CU97" s="132"/>
      <c r="CV97" s="132"/>
      <c r="CW97" s="132"/>
      <c r="CX97" s="132"/>
      <c r="CY97" s="132"/>
      <c r="CZ97" s="132"/>
      <c r="DA97" s="132"/>
      <c r="DB97" s="132"/>
      <c r="DC97" s="132"/>
      <c r="DD97" s="132"/>
      <c r="DE97" s="132"/>
      <c r="DF97" s="132"/>
      <c r="DG97" s="132"/>
      <c r="DH97" s="132"/>
      <c r="DI97" s="132"/>
      <c r="DJ97" s="132"/>
      <c r="DK97" s="132"/>
      <c r="DL97" s="132"/>
      <c r="DM97" s="132"/>
      <c r="DN97" s="132"/>
      <c r="DO97" s="132"/>
      <c r="DP97" s="132"/>
      <c r="DQ97" s="132"/>
      <c r="DR97" s="132"/>
      <c r="DS97" s="132"/>
      <c r="DT97" s="132"/>
      <c r="DU97" s="132"/>
      <c r="DV97" s="132"/>
      <c r="DW97" s="132"/>
      <c r="DX97" s="132"/>
      <c r="DY97" s="132"/>
      <c r="DZ97" s="132"/>
      <c r="EA97" s="132"/>
      <c r="EB97" s="132"/>
      <c r="EC97" s="132"/>
      <c r="ED97" s="132"/>
      <c r="EE97" s="132"/>
      <c r="EF97" s="132"/>
      <c r="EG97" s="132"/>
      <c r="EH97" s="132"/>
      <c r="EI97" s="132"/>
      <c r="EJ97" s="132"/>
      <c r="EK97" s="132"/>
      <c r="EL97" s="132"/>
      <c r="EM97" s="132"/>
      <c r="EN97" s="132"/>
      <c r="EO97" s="132"/>
      <c r="EP97" s="132"/>
      <c r="EQ97" s="132"/>
      <c r="ER97" s="132"/>
      <c r="ES97" s="132"/>
      <c r="ET97" s="132"/>
      <c r="EU97" s="132"/>
      <c r="EV97" s="132"/>
      <c r="EW97" s="132"/>
      <c r="EX97" s="132"/>
      <c r="EY97" s="132"/>
      <c r="EZ97" s="132"/>
      <c r="FA97" s="132"/>
      <c r="FB97" s="132"/>
      <c r="FC97" s="132"/>
      <c r="FD97" s="132"/>
      <c r="FE97" s="132"/>
      <c r="FF97" s="132"/>
      <c r="FG97" s="132"/>
      <c r="FH97" s="132"/>
      <c r="FI97" s="132"/>
      <c r="FJ97" s="132"/>
      <c r="FK97" s="132"/>
      <c r="FL97" s="132"/>
      <c r="FM97" s="132"/>
      <c r="FN97" s="132"/>
      <c r="FO97" s="132"/>
      <c r="FP97" s="132"/>
      <c r="FQ97" s="132"/>
      <c r="FR97" s="132"/>
      <c r="FS97" s="132"/>
      <c r="FT97" s="132"/>
      <c r="FU97" s="132"/>
      <c r="FV97" s="132"/>
      <c r="FW97" s="132"/>
      <c r="FX97" s="132"/>
      <c r="FY97" s="132"/>
      <c r="FZ97" s="132"/>
      <c r="GA97" s="132"/>
      <c r="GB97" s="132"/>
      <c r="GC97" s="132"/>
      <c r="GD97" s="132"/>
      <c r="GE97" s="132"/>
      <c r="GF97" s="132"/>
      <c r="GG97" s="132"/>
      <c r="GH97" s="132"/>
      <c r="GI97" s="132"/>
      <c r="GJ97" s="132"/>
      <c r="GK97" s="132"/>
      <c r="GL97" s="132"/>
      <c r="GM97" s="132"/>
      <c r="GN97" s="132"/>
      <c r="GO97" s="132"/>
      <c r="GP97" s="132"/>
      <c r="GQ97" s="132"/>
      <c r="GR97" s="132"/>
      <c r="GS97" s="132"/>
      <c r="GT97" s="132"/>
      <c r="GU97" s="132"/>
      <c r="GV97" s="132"/>
      <c r="GW97" s="132"/>
      <c r="GX97" s="132"/>
      <c r="GY97" s="132"/>
      <c r="GZ97" s="132"/>
      <c r="HA97" s="132"/>
      <c r="HB97" s="132"/>
      <c r="HC97" s="132"/>
      <c r="HD97" s="132"/>
      <c r="HE97" s="132"/>
      <c r="HF97" s="132"/>
      <c r="HG97" s="132"/>
      <c r="HH97" s="132"/>
      <c r="HI97" s="132"/>
      <c r="HJ97" s="132"/>
      <c r="HK97" s="132"/>
      <c r="HL97" s="132"/>
      <c r="HM97" s="132"/>
      <c r="HN97" s="132"/>
      <c r="HO97" s="132"/>
      <c r="HP97" s="132"/>
      <c r="HQ97" s="132"/>
      <c r="HR97" s="132"/>
      <c r="HS97" s="132"/>
      <c r="HT97" s="132"/>
      <c r="HU97" s="132"/>
      <c r="HV97" s="132"/>
      <c r="HW97" s="132"/>
      <c r="HX97" s="132"/>
      <c r="HY97" s="132"/>
      <c r="HZ97" s="132"/>
      <c r="IA97" s="132"/>
      <c r="IB97" s="132"/>
      <c r="IC97" s="132"/>
      <c r="ID97" s="132"/>
      <c r="IE97" s="132"/>
      <c r="IF97" s="132"/>
      <c r="IG97" s="132"/>
      <c r="IH97" s="132"/>
      <c r="II97" s="132"/>
      <c r="IJ97" s="132"/>
      <c r="IK97" s="132"/>
      <c r="IL97" s="132"/>
      <c r="IM97" s="132"/>
      <c r="IN97" s="132"/>
      <c r="IO97" s="132"/>
      <c r="IP97" s="132"/>
      <c r="IQ97" s="132"/>
      <c r="IR97" s="132"/>
      <c r="IS97" s="132"/>
      <c r="IT97" s="132"/>
      <c r="IU97" s="132"/>
      <c r="IV97" s="132"/>
    </row>
    <row r="98" spans="2:256" s="225" customFormat="1" ht="0" hidden="1" customHeight="1">
      <c r="B98" s="132"/>
      <c r="C98" s="132"/>
      <c r="D98" s="132"/>
      <c r="E98" s="132"/>
      <c r="F98" s="132"/>
      <c r="G98" s="132"/>
      <c r="H98" s="132"/>
      <c r="I98" s="132"/>
      <c r="J98" s="132"/>
      <c r="K98" s="132"/>
      <c r="L98" s="132"/>
      <c r="M98" s="132"/>
      <c r="N98" s="132"/>
      <c r="O98" s="132"/>
      <c r="P98" s="132"/>
      <c r="Q98" s="132"/>
      <c r="R98" s="132"/>
      <c r="S98" s="132"/>
      <c r="T98" s="132"/>
      <c r="U98" s="132"/>
      <c r="V98" s="132"/>
      <c r="W98" s="132"/>
      <c r="X98" s="132"/>
      <c r="Y98" s="132"/>
      <c r="Z98" s="132"/>
      <c r="AA98" s="132"/>
      <c r="AB98" s="132"/>
      <c r="AC98" s="132"/>
      <c r="AD98" s="132"/>
      <c r="AE98" s="132"/>
      <c r="AF98" s="132"/>
      <c r="AG98" s="132"/>
      <c r="AH98" s="132"/>
      <c r="AI98" s="132"/>
      <c r="AJ98" s="132"/>
      <c r="AK98" s="132"/>
      <c r="AL98" s="132"/>
      <c r="AM98" s="132"/>
      <c r="AN98" s="132"/>
      <c r="AO98" s="132"/>
      <c r="AP98" s="132"/>
      <c r="AQ98" s="132"/>
      <c r="AR98" s="132"/>
      <c r="AS98" s="132"/>
      <c r="AT98" s="132"/>
      <c r="AU98" s="132"/>
      <c r="AV98" s="132"/>
      <c r="AW98" s="132"/>
      <c r="AX98" s="132"/>
      <c r="AY98" s="132"/>
      <c r="AZ98" s="132"/>
      <c r="BA98" s="132"/>
      <c r="BB98" s="132"/>
      <c r="BC98" s="132"/>
      <c r="BD98" s="132"/>
      <c r="BE98" s="132"/>
      <c r="BF98" s="132"/>
      <c r="BG98" s="132"/>
      <c r="BH98" s="132"/>
      <c r="BI98" s="132"/>
      <c r="BJ98" s="132"/>
      <c r="BK98" s="132"/>
      <c r="BL98" s="132"/>
      <c r="BM98" s="132"/>
      <c r="BN98" s="132"/>
      <c r="BO98" s="132"/>
      <c r="BP98" s="132"/>
      <c r="BQ98" s="132"/>
      <c r="BR98" s="132"/>
      <c r="BS98" s="132"/>
      <c r="BT98" s="132"/>
      <c r="BU98" s="132"/>
      <c r="BV98" s="132"/>
      <c r="BW98" s="132"/>
      <c r="BX98" s="132"/>
      <c r="BY98" s="132"/>
      <c r="BZ98" s="132"/>
      <c r="CA98" s="132"/>
      <c r="CB98" s="132"/>
      <c r="CC98" s="132"/>
      <c r="CD98" s="132"/>
      <c r="CE98" s="132"/>
      <c r="CF98" s="132"/>
      <c r="CG98" s="132"/>
      <c r="CH98" s="132"/>
      <c r="CI98" s="132"/>
      <c r="CJ98" s="132"/>
      <c r="CK98" s="132"/>
      <c r="CL98" s="132"/>
      <c r="CM98" s="132"/>
      <c r="CN98" s="132"/>
      <c r="CO98" s="132"/>
      <c r="CP98" s="132"/>
      <c r="CQ98" s="132"/>
      <c r="CR98" s="132"/>
      <c r="CS98" s="132"/>
      <c r="CT98" s="132"/>
      <c r="CU98" s="132"/>
      <c r="CV98" s="132"/>
      <c r="CW98" s="132"/>
      <c r="CX98" s="132"/>
      <c r="CY98" s="132"/>
      <c r="CZ98" s="132"/>
      <c r="DA98" s="132"/>
      <c r="DB98" s="132"/>
      <c r="DC98" s="132"/>
      <c r="DD98" s="132"/>
      <c r="DE98" s="132"/>
      <c r="DF98" s="132"/>
      <c r="DG98" s="132"/>
      <c r="DH98" s="132"/>
      <c r="DI98" s="132"/>
      <c r="DJ98" s="132"/>
      <c r="DK98" s="132"/>
      <c r="DL98" s="132"/>
      <c r="DM98" s="132"/>
      <c r="DN98" s="132"/>
      <c r="DO98" s="132"/>
      <c r="DP98" s="132"/>
      <c r="DQ98" s="132"/>
      <c r="DR98" s="132"/>
      <c r="DS98" s="132"/>
      <c r="DT98" s="132"/>
      <c r="DU98" s="132"/>
      <c r="DV98" s="132"/>
      <c r="DW98" s="132"/>
      <c r="DX98" s="132"/>
      <c r="DY98" s="132"/>
      <c r="DZ98" s="132"/>
      <c r="EA98" s="132"/>
      <c r="EB98" s="132"/>
      <c r="EC98" s="132"/>
      <c r="ED98" s="132"/>
      <c r="EE98" s="132"/>
      <c r="EF98" s="132"/>
      <c r="EG98" s="132"/>
      <c r="EH98" s="132"/>
      <c r="EI98" s="132"/>
      <c r="EJ98" s="132"/>
      <c r="EK98" s="132"/>
      <c r="EL98" s="132"/>
      <c r="EM98" s="132"/>
      <c r="EN98" s="132"/>
      <c r="EO98" s="132"/>
      <c r="EP98" s="132"/>
      <c r="EQ98" s="132"/>
      <c r="ER98" s="132"/>
      <c r="ES98" s="132"/>
      <c r="ET98" s="132"/>
      <c r="EU98" s="132"/>
      <c r="EV98" s="132"/>
      <c r="EW98" s="132"/>
      <c r="EX98" s="132"/>
      <c r="EY98" s="132"/>
      <c r="EZ98" s="132"/>
      <c r="FA98" s="132"/>
      <c r="FB98" s="132"/>
      <c r="FC98" s="132"/>
      <c r="FD98" s="132"/>
      <c r="FE98" s="132"/>
      <c r="FF98" s="132"/>
      <c r="FG98" s="132"/>
      <c r="FH98" s="132"/>
      <c r="FI98" s="132"/>
      <c r="FJ98" s="132"/>
      <c r="FK98" s="132"/>
      <c r="FL98" s="132"/>
      <c r="FM98" s="132"/>
      <c r="FN98" s="132"/>
      <c r="FO98" s="132"/>
      <c r="FP98" s="132"/>
      <c r="FQ98" s="132"/>
      <c r="FR98" s="132"/>
      <c r="FS98" s="132"/>
      <c r="FT98" s="132"/>
      <c r="FU98" s="132"/>
      <c r="FV98" s="132"/>
      <c r="FW98" s="132"/>
      <c r="FX98" s="132"/>
      <c r="FY98" s="132"/>
      <c r="FZ98" s="132"/>
      <c r="GA98" s="132"/>
      <c r="GB98" s="132"/>
      <c r="GC98" s="132"/>
      <c r="GD98" s="132"/>
      <c r="GE98" s="132"/>
      <c r="GF98" s="132"/>
      <c r="GG98" s="132"/>
      <c r="GH98" s="132"/>
      <c r="GI98" s="132"/>
      <c r="GJ98" s="132"/>
      <c r="GK98" s="132"/>
      <c r="GL98" s="132"/>
      <c r="GM98" s="132"/>
      <c r="GN98" s="132"/>
      <c r="GO98" s="132"/>
      <c r="GP98" s="132"/>
      <c r="GQ98" s="132"/>
      <c r="GR98" s="132"/>
      <c r="GS98" s="132"/>
      <c r="GT98" s="132"/>
      <c r="GU98" s="132"/>
      <c r="GV98" s="132"/>
      <c r="GW98" s="132"/>
      <c r="GX98" s="132"/>
      <c r="GY98" s="132"/>
      <c r="GZ98" s="132"/>
      <c r="HA98" s="132"/>
      <c r="HB98" s="132"/>
      <c r="HC98" s="132"/>
      <c r="HD98" s="132"/>
      <c r="HE98" s="132"/>
      <c r="HF98" s="132"/>
      <c r="HG98" s="132"/>
      <c r="HH98" s="132"/>
      <c r="HI98" s="132"/>
      <c r="HJ98" s="132"/>
      <c r="HK98" s="132"/>
      <c r="HL98" s="132"/>
      <c r="HM98" s="132"/>
      <c r="HN98" s="132"/>
      <c r="HO98" s="132"/>
      <c r="HP98" s="132"/>
      <c r="HQ98" s="132"/>
      <c r="HR98" s="132"/>
      <c r="HS98" s="132"/>
      <c r="HT98" s="132"/>
      <c r="HU98" s="132"/>
      <c r="HV98" s="132"/>
      <c r="HW98" s="132"/>
      <c r="HX98" s="132"/>
      <c r="HY98" s="132"/>
      <c r="HZ98" s="132"/>
      <c r="IA98" s="132"/>
      <c r="IB98" s="132"/>
      <c r="IC98" s="132"/>
      <c r="ID98" s="132"/>
      <c r="IE98" s="132"/>
      <c r="IF98" s="132"/>
      <c r="IG98" s="132"/>
      <c r="IH98" s="132"/>
      <c r="II98" s="132"/>
      <c r="IJ98" s="132"/>
      <c r="IK98" s="132"/>
      <c r="IL98" s="132"/>
      <c r="IM98" s="132"/>
      <c r="IN98" s="132"/>
      <c r="IO98" s="132"/>
      <c r="IP98" s="132"/>
      <c r="IQ98" s="132"/>
      <c r="IR98" s="132"/>
      <c r="IS98" s="132"/>
      <c r="IT98" s="132"/>
      <c r="IU98" s="132"/>
      <c r="IV98" s="132"/>
    </row>
    <row r="99" spans="2:256" s="225" customFormat="1" ht="0" hidden="1" customHeight="1">
      <c r="B99" s="132"/>
      <c r="C99" s="132"/>
      <c r="D99" s="132"/>
      <c r="E99" s="132"/>
      <c r="F99" s="132"/>
      <c r="G99" s="132"/>
      <c r="H99" s="132"/>
      <c r="I99" s="132"/>
      <c r="J99" s="132"/>
      <c r="K99" s="132"/>
      <c r="L99" s="132"/>
      <c r="M99" s="132"/>
      <c r="N99" s="132"/>
      <c r="O99" s="132"/>
      <c r="P99" s="132"/>
      <c r="Q99" s="132"/>
      <c r="R99" s="132"/>
      <c r="S99" s="132"/>
      <c r="T99" s="132"/>
      <c r="U99" s="132"/>
      <c r="V99" s="132"/>
      <c r="W99" s="132"/>
      <c r="X99" s="132"/>
      <c r="Y99" s="132"/>
      <c r="Z99" s="132"/>
      <c r="AA99" s="132"/>
      <c r="AB99" s="132"/>
      <c r="AC99" s="132"/>
      <c r="AD99" s="132"/>
      <c r="AE99" s="132"/>
      <c r="AF99" s="132"/>
      <c r="AG99" s="132"/>
      <c r="AH99" s="132"/>
      <c r="AI99" s="132"/>
      <c r="AJ99" s="132"/>
      <c r="AK99" s="132"/>
      <c r="AL99" s="132"/>
      <c r="AM99" s="132"/>
      <c r="AN99" s="132"/>
      <c r="AO99" s="132"/>
      <c r="AP99" s="132"/>
      <c r="AQ99" s="132"/>
      <c r="AR99" s="132"/>
      <c r="AS99" s="132"/>
      <c r="AT99" s="132"/>
      <c r="AU99" s="132"/>
      <c r="AV99" s="132"/>
      <c r="AW99" s="132"/>
      <c r="AX99" s="132"/>
      <c r="AY99" s="132"/>
      <c r="AZ99" s="132"/>
      <c r="BA99" s="132"/>
      <c r="BB99" s="132"/>
      <c r="BC99" s="132"/>
      <c r="BD99" s="132"/>
      <c r="BE99" s="132"/>
      <c r="BF99" s="132"/>
      <c r="BG99" s="132"/>
      <c r="BH99" s="132"/>
      <c r="BI99" s="132"/>
      <c r="BJ99" s="132"/>
      <c r="BK99" s="132"/>
      <c r="BL99" s="132"/>
      <c r="BM99" s="132"/>
      <c r="BN99" s="132"/>
      <c r="BO99" s="132"/>
      <c r="BP99" s="132"/>
      <c r="BQ99" s="132"/>
      <c r="BR99" s="132"/>
      <c r="BS99" s="132"/>
      <c r="BT99" s="132"/>
      <c r="BU99" s="132"/>
      <c r="BV99" s="132"/>
      <c r="BW99" s="132"/>
      <c r="BX99" s="132"/>
      <c r="BY99" s="132"/>
      <c r="BZ99" s="132"/>
      <c r="CA99" s="132"/>
      <c r="CB99" s="132"/>
      <c r="CC99" s="132"/>
      <c r="CD99" s="132"/>
      <c r="CE99" s="132"/>
      <c r="CF99" s="132"/>
      <c r="CG99" s="132"/>
      <c r="CH99" s="132"/>
      <c r="CI99" s="132"/>
      <c r="CJ99" s="132"/>
      <c r="CK99" s="132"/>
      <c r="CL99" s="132"/>
      <c r="CM99" s="132"/>
      <c r="CN99" s="132"/>
      <c r="CO99" s="132"/>
      <c r="CP99" s="132"/>
      <c r="CQ99" s="132"/>
      <c r="CR99" s="132"/>
      <c r="CS99" s="132"/>
      <c r="CT99" s="132"/>
      <c r="CU99" s="132"/>
      <c r="CV99" s="132"/>
      <c r="CW99" s="132"/>
      <c r="CX99" s="132"/>
      <c r="CY99" s="132"/>
      <c r="CZ99" s="132"/>
      <c r="DA99" s="132"/>
      <c r="DB99" s="132"/>
      <c r="DC99" s="132"/>
      <c r="DD99" s="132"/>
      <c r="DE99" s="132"/>
      <c r="DF99" s="132"/>
      <c r="DG99" s="132"/>
      <c r="DH99" s="132"/>
      <c r="DI99" s="132"/>
      <c r="DJ99" s="132"/>
      <c r="DK99" s="132"/>
      <c r="DL99" s="132"/>
      <c r="DM99" s="132"/>
      <c r="DN99" s="132"/>
      <c r="DO99" s="132"/>
      <c r="DP99" s="132"/>
      <c r="DQ99" s="132"/>
      <c r="DR99" s="132"/>
      <c r="DS99" s="132"/>
      <c r="DT99" s="132"/>
      <c r="DU99" s="132"/>
      <c r="DV99" s="132"/>
      <c r="DW99" s="132"/>
      <c r="DX99" s="132"/>
      <c r="DY99" s="132"/>
      <c r="DZ99" s="132"/>
      <c r="EA99" s="132"/>
      <c r="EB99" s="132"/>
      <c r="EC99" s="132"/>
      <c r="ED99" s="132"/>
      <c r="EE99" s="132"/>
      <c r="EF99" s="132"/>
      <c r="EG99" s="132"/>
      <c r="EH99" s="132"/>
      <c r="EI99" s="132"/>
      <c r="EJ99" s="132"/>
      <c r="EK99" s="132"/>
      <c r="EL99" s="132"/>
      <c r="EM99" s="132"/>
      <c r="EN99" s="132"/>
      <c r="EO99" s="132"/>
      <c r="EP99" s="132"/>
      <c r="EQ99" s="132"/>
      <c r="ER99" s="132"/>
      <c r="ES99" s="132"/>
      <c r="ET99" s="132"/>
      <c r="EU99" s="132"/>
      <c r="EV99" s="132"/>
      <c r="EW99" s="132"/>
      <c r="EX99" s="132"/>
      <c r="EY99" s="132"/>
      <c r="EZ99" s="132"/>
      <c r="FA99" s="132"/>
      <c r="FB99" s="132"/>
      <c r="FC99" s="132"/>
      <c r="FD99" s="132"/>
      <c r="FE99" s="132"/>
      <c r="FF99" s="132"/>
      <c r="FG99" s="132"/>
      <c r="FH99" s="132"/>
      <c r="FI99" s="132"/>
      <c r="FJ99" s="132"/>
      <c r="FK99" s="132"/>
      <c r="FL99" s="132"/>
      <c r="FM99" s="132"/>
      <c r="FN99" s="132"/>
      <c r="FO99" s="132"/>
      <c r="FP99" s="132"/>
      <c r="FQ99" s="132"/>
      <c r="FR99" s="132"/>
      <c r="FS99" s="132"/>
      <c r="FT99" s="132"/>
      <c r="FU99" s="132"/>
      <c r="FV99" s="132"/>
      <c r="FW99" s="132"/>
      <c r="FX99" s="132"/>
      <c r="FY99" s="132"/>
      <c r="FZ99" s="132"/>
      <c r="GA99" s="132"/>
      <c r="GB99" s="132"/>
      <c r="GC99" s="132"/>
      <c r="GD99" s="132"/>
      <c r="GE99" s="132"/>
      <c r="GF99" s="132"/>
      <c r="GG99" s="132"/>
      <c r="GH99" s="132"/>
      <c r="GI99" s="132"/>
      <c r="GJ99" s="132"/>
      <c r="GK99" s="132"/>
      <c r="GL99" s="132"/>
      <c r="GM99" s="132"/>
      <c r="GN99" s="132"/>
      <c r="GO99" s="132"/>
      <c r="GP99" s="132"/>
      <c r="GQ99" s="132"/>
      <c r="GR99" s="132"/>
      <c r="GS99" s="132"/>
      <c r="GT99" s="132"/>
      <c r="GU99" s="132"/>
      <c r="GV99" s="132"/>
      <c r="GW99" s="132"/>
      <c r="GX99" s="132"/>
      <c r="GY99" s="132"/>
      <c r="GZ99" s="132"/>
      <c r="HA99" s="132"/>
      <c r="HB99" s="132"/>
      <c r="HC99" s="132"/>
      <c r="HD99" s="132"/>
      <c r="HE99" s="132"/>
      <c r="HF99" s="132"/>
      <c r="HG99" s="132"/>
      <c r="HH99" s="132"/>
      <c r="HI99" s="132"/>
      <c r="HJ99" s="132"/>
      <c r="HK99" s="132"/>
      <c r="HL99" s="132"/>
      <c r="HM99" s="132"/>
      <c r="HN99" s="132"/>
      <c r="HO99" s="132"/>
      <c r="HP99" s="132"/>
      <c r="HQ99" s="132"/>
      <c r="HR99" s="132"/>
      <c r="HS99" s="132"/>
      <c r="HT99" s="132"/>
      <c r="HU99" s="132"/>
      <c r="HV99" s="132"/>
      <c r="HW99" s="132"/>
      <c r="HX99" s="132"/>
      <c r="HY99" s="132"/>
      <c r="HZ99" s="132"/>
      <c r="IA99" s="132"/>
      <c r="IB99" s="132"/>
      <c r="IC99" s="132"/>
      <c r="ID99" s="132"/>
      <c r="IE99" s="132"/>
      <c r="IF99" s="132"/>
      <c r="IG99" s="132"/>
      <c r="IH99" s="132"/>
      <c r="II99" s="132"/>
      <c r="IJ99" s="132"/>
      <c r="IK99" s="132"/>
      <c r="IL99" s="132"/>
      <c r="IM99" s="132"/>
      <c r="IN99" s="132"/>
      <c r="IO99" s="132"/>
      <c r="IP99" s="132"/>
      <c r="IQ99" s="132"/>
      <c r="IR99" s="132"/>
      <c r="IS99" s="132"/>
      <c r="IT99" s="132"/>
      <c r="IU99" s="132"/>
      <c r="IV99" s="132"/>
    </row>
    <row r="100" spans="2:256" s="225" customFormat="1" ht="0" hidden="1" customHeight="1">
      <c r="B100" s="132"/>
      <c r="C100" s="132"/>
      <c r="D100" s="132"/>
      <c r="E100" s="132"/>
      <c r="F100" s="132"/>
      <c r="G100" s="132"/>
      <c r="H100" s="132"/>
      <c r="I100" s="132"/>
      <c r="J100" s="132"/>
      <c r="K100" s="132"/>
      <c r="L100" s="132"/>
      <c r="M100" s="132"/>
      <c r="N100" s="132"/>
      <c r="O100" s="132"/>
      <c r="P100" s="132"/>
      <c r="Q100" s="132"/>
      <c r="R100" s="132"/>
      <c r="S100" s="132"/>
      <c r="T100" s="132"/>
      <c r="U100" s="132"/>
      <c r="V100" s="132"/>
      <c r="W100" s="132"/>
      <c r="X100" s="132"/>
      <c r="Y100" s="132"/>
      <c r="Z100" s="132"/>
      <c r="AA100" s="132"/>
      <c r="AB100" s="132"/>
      <c r="AC100" s="132"/>
      <c r="AD100" s="132"/>
      <c r="AE100" s="132"/>
      <c r="AF100" s="132"/>
      <c r="AG100" s="132"/>
      <c r="AH100" s="132"/>
      <c r="AI100" s="132"/>
      <c r="AJ100" s="132"/>
      <c r="AK100" s="132"/>
      <c r="AL100" s="132"/>
      <c r="AM100" s="132"/>
      <c r="AN100" s="132"/>
      <c r="AO100" s="132"/>
      <c r="AP100" s="132"/>
      <c r="AQ100" s="132"/>
      <c r="AR100" s="132"/>
      <c r="AS100" s="132"/>
      <c r="AT100" s="132"/>
      <c r="AU100" s="132"/>
      <c r="AV100" s="132"/>
      <c r="AW100" s="132"/>
      <c r="AX100" s="132"/>
      <c r="AY100" s="132"/>
      <c r="AZ100" s="132"/>
      <c r="BA100" s="132"/>
      <c r="BB100" s="132"/>
      <c r="BC100" s="132"/>
      <c r="BD100" s="132"/>
      <c r="BE100" s="132"/>
      <c r="BF100" s="132"/>
      <c r="BG100" s="132"/>
      <c r="BH100" s="132"/>
      <c r="BI100" s="132"/>
      <c r="BJ100" s="132"/>
      <c r="BK100" s="132"/>
      <c r="BL100" s="132"/>
      <c r="BM100" s="132"/>
      <c r="BN100" s="132"/>
      <c r="BO100" s="132"/>
      <c r="BP100" s="132"/>
      <c r="BQ100" s="132"/>
      <c r="BR100" s="132"/>
      <c r="BS100" s="132"/>
      <c r="BT100" s="132"/>
      <c r="BU100" s="132"/>
      <c r="BV100" s="132"/>
      <c r="BW100" s="132"/>
      <c r="BX100" s="132"/>
      <c r="BY100" s="132"/>
      <c r="BZ100" s="132"/>
      <c r="CA100" s="132"/>
      <c r="CB100" s="132"/>
      <c r="CC100" s="132"/>
      <c r="CD100" s="132"/>
      <c r="CE100" s="132"/>
      <c r="CF100" s="132"/>
      <c r="CG100" s="132"/>
      <c r="CH100" s="132"/>
      <c r="CI100" s="132"/>
      <c r="CJ100" s="132"/>
      <c r="CK100" s="132"/>
      <c r="CL100" s="132"/>
      <c r="CM100" s="132"/>
      <c r="CN100" s="132"/>
      <c r="CO100" s="132"/>
      <c r="CP100" s="132"/>
      <c r="CQ100" s="132"/>
      <c r="CR100" s="132"/>
      <c r="CS100" s="132"/>
      <c r="CT100" s="132"/>
      <c r="CU100" s="132"/>
      <c r="CV100" s="132"/>
      <c r="CW100" s="132"/>
      <c r="CX100" s="132"/>
      <c r="CY100" s="132"/>
      <c r="CZ100" s="132"/>
      <c r="DA100" s="132"/>
      <c r="DB100" s="132"/>
      <c r="DC100" s="132"/>
      <c r="DD100" s="132"/>
      <c r="DE100" s="132"/>
      <c r="DF100" s="132"/>
      <c r="DG100" s="132"/>
      <c r="DH100" s="132"/>
      <c r="DI100" s="132"/>
      <c r="DJ100" s="132"/>
      <c r="DK100" s="132"/>
      <c r="DL100" s="132"/>
      <c r="DM100" s="132"/>
      <c r="DN100" s="132"/>
      <c r="DO100" s="132"/>
      <c r="DP100" s="132"/>
      <c r="DQ100" s="132"/>
      <c r="DR100" s="132"/>
      <c r="DS100" s="132"/>
      <c r="DT100" s="132"/>
      <c r="DU100" s="132"/>
      <c r="DV100" s="132"/>
      <c r="DW100" s="132"/>
      <c r="DX100" s="132"/>
      <c r="DY100" s="132"/>
      <c r="DZ100" s="132"/>
      <c r="EA100" s="132"/>
      <c r="EB100" s="132"/>
      <c r="EC100" s="132"/>
      <c r="ED100" s="132"/>
      <c r="EE100" s="132"/>
      <c r="EF100" s="132"/>
      <c r="EG100" s="132"/>
      <c r="EH100" s="132"/>
      <c r="EI100" s="132"/>
      <c r="EJ100" s="132"/>
      <c r="EK100" s="132"/>
      <c r="EL100" s="132"/>
      <c r="EM100" s="132"/>
      <c r="EN100" s="132"/>
      <c r="EO100" s="132"/>
      <c r="EP100" s="132"/>
      <c r="EQ100" s="132"/>
      <c r="ER100" s="132"/>
      <c r="ES100" s="132"/>
      <c r="ET100" s="132"/>
      <c r="EU100" s="132"/>
      <c r="EV100" s="132"/>
      <c r="EW100" s="132"/>
      <c r="EX100" s="132"/>
      <c r="EY100" s="132"/>
      <c r="EZ100" s="132"/>
      <c r="FA100" s="132"/>
      <c r="FB100" s="132"/>
      <c r="FC100" s="132"/>
      <c r="FD100" s="132"/>
      <c r="FE100" s="132"/>
      <c r="FF100" s="132"/>
      <c r="FG100" s="132"/>
      <c r="FH100" s="132"/>
      <c r="FI100" s="132"/>
      <c r="FJ100" s="132"/>
      <c r="FK100" s="132"/>
      <c r="FL100" s="132"/>
      <c r="FM100" s="132"/>
      <c r="FN100" s="132"/>
      <c r="FO100" s="132"/>
      <c r="FP100" s="132"/>
      <c r="FQ100" s="132"/>
      <c r="FR100" s="132"/>
      <c r="FS100" s="132"/>
      <c r="FT100" s="132"/>
      <c r="FU100" s="132"/>
      <c r="FV100" s="132"/>
      <c r="FW100" s="132"/>
      <c r="FX100" s="132"/>
      <c r="FY100" s="132"/>
      <c r="FZ100" s="132"/>
      <c r="GA100" s="132"/>
      <c r="GB100" s="132"/>
      <c r="GC100" s="132"/>
      <c r="GD100" s="132"/>
      <c r="GE100" s="132"/>
      <c r="GF100" s="132"/>
      <c r="GG100" s="132"/>
      <c r="GH100" s="132"/>
      <c r="GI100" s="132"/>
      <c r="GJ100" s="132"/>
      <c r="GK100" s="132"/>
      <c r="GL100" s="132"/>
      <c r="GM100" s="132"/>
      <c r="GN100" s="132"/>
      <c r="GO100" s="132"/>
      <c r="GP100" s="132"/>
      <c r="GQ100" s="132"/>
      <c r="GR100" s="132"/>
      <c r="GS100" s="132"/>
      <c r="GT100" s="132"/>
      <c r="GU100" s="132"/>
      <c r="GV100" s="132"/>
      <c r="GW100" s="132"/>
      <c r="GX100" s="132"/>
      <c r="GY100" s="132"/>
      <c r="GZ100" s="132"/>
      <c r="HA100" s="132"/>
      <c r="HB100" s="132"/>
      <c r="HC100" s="132"/>
      <c r="HD100" s="132"/>
      <c r="HE100" s="132"/>
      <c r="HF100" s="132"/>
      <c r="HG100" s="132"/>
      <c r="HH100" s="132"/>
      <c r="HI100" s="132"/>
      <c r="HJ100" s="132"/>
      <c r="HK100" s="132"/>
      <c r="HL100" s="132"/>
      <c r="HM100" s="132"/>
      <c r="HN100" s="132"/>
      <c r="HO100" s="132"/>
      <c r="HP100" s="132"/>
      <c r="HQ100" s="132"/>
      <c r="HR100" s="132"/>
      <c r="HS100" s="132"/>
      <c r="HT100" s="132"/>
      <c r="HU100" s="132"/>
      <c r="HV100" s="132"/>
      <c r="HW100" s="132"/>
      <c r="HX100" s="132"/>
      <c r="HY100" s="132"/>
      <c r="HZ100" s="132"/>
      <c r="IA100" s="132"/>
      <c r="IB100" s="132"/>
      <c r="IC100" s="132"/>
      <c r="ID100" s="132"/>
      <c r="IE100" s="132"/>
      <c r="IF100" s="132"/>
      <c r="IG100" s="132"/>
      <c r="IH100" s="132"/>
      <c r="II100" s="132"/>
      <c r="IJ100" s="132"/>
      <c r="IK100" s="132"/>
      <c r="IL100" s="132"/>
      <c r="IM100" s="132"/>
      <c r="IN100" s="132"/>
      <c r="IO100" s="132"/>
      <c r="IP100" s="132"/>
      <c r="IQ100" s="132"/>
      <c r="IR100" s="132"/>
      <c r="IS100" s="132"/>
      <c r="IT100" s="132"/>
      <c r="IU100" s="132"/>
      <c r="IV100" s="132"/>
    </row>
    <row r="101" spans="2:256" s="225" customFormat="1" ht="0" hidden="1" customHeight="1">
      <c r="B101" s="132"/>
      <c r="C101" s="132"/>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c r="AA101" s="132"/>
      <c r="AB101" s="132"/>
      <c r="AC101" s="132"/>
      <c r="AD101" s="132"/>
      <c r="AE101" s="132"/>
      <c r="AF101" s="132"/>
      <c r="AG101" s="132"/>
      <c r="AH101" s="132"/>
      <c r="AI101" s="132"/>
      <c r="AJ101" s="132"/>
      <c r="AK101" s="132"/>
      <c r="AL101" s="132"/>
      <c r="AM101" s="132"/>
      <c r="AN101" s="132"/>
      <c r="AO101" s="132"/>
      <c r="AP101" s="132"/>
      <c r="AQ101" s="132"/>
      <c r="AR101" s="132"/>
      <c r="AS101" s="132"/>
      <c r="AT101" s="132"/>
      <c r="AU101" s="132"/>
      <c r="AV101" s="132"/>
      <c r="AW101" s="132"/>
      <c r="AX101" s="132"/>
      <c r="AY101" s="132"/>
      <c r="AZ101" s="132"/>
      <c r="BA101" s="132"/>
      <c r="BB101" s="132"/>
      <c r="BC101" s="132"/>
      <c r="BD101" s="132"/>
      <c r="BE101" s="132"/>
      <c r="BF101" s="132"/>
      <c r="BG101" s="132"/>
      <c r="BH101" s="132"/>
      <c r="BI101" s="132"/>
      <c r="BJ101" s="132"/>
      <c r="BK101" s="132"/>
      <c r="BL101" s="132"/>
      <c r="BM101" s="132"/>
      <c r="BN101" s="132"/>
      <c r="BO101" s="132"/>
      <c r="BP101" s="132"/>
      <c r="BQ101" s="132"/>
      <c r="BR101" s="132"/>
      <c r="BS101" s="132"/>
      <c r="BT101" s="132"/>
      <c r="BU101" s="132"/>
      <c r="BV101" s="132"/>
      <c r="BW101" s="132"/>
      <c r="BX101" s="132"/>
      <c r="BY101" s="132"/>
      <c r="BZ101" s="132"/>
      <c r="CA101" s="132"/>
      <c r="CB101" s="132"/>
      <c r="CC101" s="132"/>
      <c r="CD101" s="132"/>
      <c r="CE101" s="132"/>
      <c r="CF101" s="132"/>
      <c r="CG101" s="132"/>
      <c r="CH101" s="132"/>
      <c r="CI101" s="132"/>
      <c r="CJ101" s="132"/>
      <c r="CK101" s="132"/>
      <c r="CL101" s="132"/>
      <c r="CM101" s="132"/>
      <c r="CN101" s="132"/>
      <c r="CO101" s="132"/>
      <c r="CP101" s="132"/>
      <c r="CQ101" s="132"/>
      <c r="CR101" s="132"/>
      <c r="CS101" s="132"/>
      <c r="CT101" s="132"/>
      <c r="CU101" s="132"/>
      <c r="CV101" s="132"/>
      <c r="CW101" s="132"/>
      <c r="CX101" s="132"/>
      <c r="CY101" s="132"/>
      <c r="CZ101" s="132"/>
      <c r="DA101" s="132"/>
      <c r="DB101" s="132"/>
      <c r="DC101" s="132"/>
      <c r="DD101" s="132"/>
      <c r="DE101" s="132"/>
      <c r="DF101" s="132"/>
      <c r="DG101" s="132"/>
      <c r="DH101" s="132"/>
      <c r="DI101" s="132"/>
      <c r="DJ101" s="132"/>
      <c r="DK101" s="132"/>
      <c r="DL101" s="132"/>
      <c r="DM101" s="132"/>
      <c r="DN101" s="132"/>
      <c r="DO101" s="132"/>
      <c r="DP101" s="132"/>
      <c r="DQ101" s="132"/>
      <c r="DR101" s="132"/>
      <c r="DS101" s="132"/>
      <c r="DT101" s="132"/>
      <c r="DU101" s="132"/>
      <c r="DV101" s="132"/>
      <c r="DW101" s="132"/>
      <c r="DX101" s="132"/>
      <c r="DY101" s="132"/>
      <c r="DZ101" s="132"/>
      <c r="EA101" s="132"/>
      <c r="EB101" s="132"/>
      <c r="EC101" s="132"/>
      <c r="ED101" s="132"/>
      <c r="EE101" s="132"/>
      <c r="EF101" s="132"/>
      <c r="EG101" s="132"/>
      <c r="EH101" s="132"/>
      <c r="EI101" s="132"/>
      <c r="EJ101" s="132"/>
      <c r="EK101" s="132"/>
      <c r="EL101" s="132"/>
      <c r="EM101" s="132"/>
      <c r="EN101" s="132"/>
      <c r="EO101" s="132"/>
      <c r="EP101" s="132"/>
      <c r="EQ101" s="132"/>
      <c r="ER101" s="132"/>
      <c r="ES101" s="132"/>
      <c r="ET101" s="132"/>
      <c r="EU101" s="132"/>
      <c r="EV101" s="132"/>
      <c r="EW101" s="132"/>
      <c r="EX101" s="132"/>
      <c r="EY101" s="132"/>
      <c r="EZ101" s="132"/>
      <c r="FA101" s="132"/>
      <c r="FB101" s="132"/>
      <c r="FC101" s="132"/>
      <c r="FD101" s="132"/>
      <c r="FE101" s="132"/>
      <c r="FF101" s="132"/>
      <c r="FG101" s="132"/>
      <c r="FH101" s="132"/>
      <c r="FI101" s="132"/>
      <c r="FJ101" s="132"/>
      <c r="FK101" s="132"/>
      <c r="FL101" s="132"/>
      <c r="FM101" s="132"/>
      <c r="FN101" s="132"/>
      <c r="FO101" s="132"/>
      <c r="FP101" s="132"/>
      <c r="FQ101" s="132"/>
      <c r="FR101" s="132"/>
      <c r="FS101" s="132"/>
      <c r="FT101" s="132"/>
      <c r="FU101" s="132"/>
      <c r="FV101" s="132"/>
      <c r="FW101" s="132"/>
      <c r="FX101" s="132"/>
      <c r="FY101" s="132"/>
      <c r="FZ101" s="132"/>
      <c r="GA101" s="132"/>
      <c r="GB101" s="132"/>
      <c r="GC101" s="132"/>
      <c r="GD101" s="132"/>
      <c r="GE101" s="132"/>
      <c r="GF101" s="132"/>
      <c r="GG101" s="132"/>
      <c r="GH101" s="132"/>
      <c r="GI101" s="132"/>
      <c r="GJ101" s="132"/>
      <c r="GK101" s="132"/>
      <c r="GL101" s="132"/>
      <c r="GM101" s="132"/>
      <c r="GN101" s="132"/>
      <c r="GO101" s="132"/>
      <c r="GP101" s="132"/>
      <c r="GQ101" s="132"/>
      <c r="GR101" s="132"/>
      <c r="GS101" s="132"/>
      <c r="GT101" s="132"/>
      <c r="GU101" s="132"/>
      <c r="GV101" s="132"/>
      <c r="GW101" s="132"/>
      <c r="GX101" s="132"/>
      <c r="GY101" s="132"/>
      <c r="GZ101" s="132"/>
      <c r="HA101" s="132"/>
      <c r="HB101" s="132"/>
      <c r="HC101" s="132"/>
      <c r="HD101" s="132"/>
      <c r="HE101" s="132"/>
      <c r="HF101" s="132"/>
      <c r="HG101" s="132"/>
      <c r="HH101" s="132"/>
      <c r="HI101" s="132"/>
      <c r="HJ101" s="132"/>
      <c r="HK101" s="132"/>
      <c r="HL101" s="132"/>
      <c r="HM101" s="132"/>
      <c r="HN101" s="132"/>
      <c r="HO101" s="132"/>
      <c r="HP101" s="132"/>
      <c r="HQ101" s="132"/>
      <c r="HR101" s="132"/>
      <c r="HS101" s="132"/>
      <c r="HT101" s="132"/>
      <c r="HU101" s="132"/>
      <c r="HV101" s="132"/>
      <c r="HW101" s="132"/>
      <c r="HX101" s="132"/>
      <c r="HY101" s="132"/>
      <c r="HZ101" s="132"/>
      <c r="IA101" s="132"/>
      <c r="IB101" s="132"/>
      <c r="IC101" s="132"/>
      <c r="ID101" s="132"/>
      <c r="IE101" s="132"/>
      <c r="IF101" s="132"/>
      <c r="IG101" s="132"/>
      <c r="IH101" s="132"/>
      <c r="II101" s="132"/>
      <c r="IJ101" s="132"/>
      <c r="IK101" s="132"/>
      <c r="IL101" s="132"/>
      <c r="IM101" s="132"/>
      <c r="IN101" s="132"/>
      <c r="IO101" s="132"/>
      <c r="IP101" s="132"/>
      <c r="IQ101" s="132"/>
      <c r="IR101" s="132"/>
      <c r="IS101" s="132"/>
      <c r="IT101" s="132"/>
      <c r="IU101" s="132"/>
      <c r="IV101" s="132"/>
    </row>
  </sheetData>
  <sheetProtection algorithmName="SHA-512" hashValue="vvcejhrlZiFYZcQo3V2LzKHsoHnmvseF+f2TpajhcqrjFWBU1Swlu32+x/fjDr7xjYfFt/64uzWPF/49j8JZSQ==" saltValue="7TfeCsyQXYfbjzGtfohYFw==" spinCount="100000" sheet="1" objects="1" scenarios="1"/>
  <mergeCells count="135">
    <mergeCell ref="B75:I75"/>
    <mergeCell ref="B76:D77"/>
    <mergeCell ref="E76:E77"/>
    <mergeCell ref="F76:G77"/>
    <mergeCell ref="H76:I77"/>
    <mergeCell ref="F67:G74"/>
    <mergeCell ref="H67:I74"/>
    <mergeCell ref="B69:D70"/>
    <mergeCell ref="B71:D72"/>
    <mergeCell ref="B73:D74"/>
    <mergeCell ref="E67:E68"/>
    <mergeCell ref="E69:E70"/>
    <mergeCell ref="E71:E72"/>
    <mergeCell ref="E73:E74"/>
    <mergeCell ref="B65:D66"/>
    <mergeCell ref="E65:E66"/>
    <mergeCell ref="B67:D68"/>
    <mergeCell ref="F65:I66"/>
    <mergeCell ref="G25:I26"/>
    <mergeCell ref="E24:I24"/>
    <mergeCell ref="B27:I27"/>
    <mergeCell ref="G28:I29"/>
    <mergeCell ref="G30:I31"/>
    <mergeCell ref="B61:D62"/>
    <mergeCell ref="E61:F62"/>
    <mergeCell ref="B63:D64"/>
    <mergeCell ref="G61:I62"/>
    <mergeCell ref="E63:E64"/>
    <mergeCell ref="F63:G64"/>
    <mergeCell ref="H63:I64"/>
    <mergeCell ref="B56:D57"/>
    <mergeCell ref="E56:F57"/>
    <mergeCell ref="B59:D60"/>
    <mergeCell ref="E59:F60"/>
    <mergeCell ref="G56:I57"/>
    <mergeCell ref="B58:I58"/>
    <mergeCell ref="G59:I60"/>
    <mergeCell ref="B51:D52"/>
    <mergeCell ref="E51:F52"/>
    <mergeCell ref="B54:D55"/>
    <mergeCell ref="E54:F55"/>
    <mergeCell ref="G51:I52"/>
    <mergeCell ref="B53:I53"/>
    <mergeCell ref="G54:I55"/>
    <mergeCell ref="B47:D48"/>
    <mergeCell ref="E47:F48"/>
    <mergeCell ref="B49:D50"/>
    <mergeCell ref="E49:F50"/>
    <mergeCell ref="G47:I48"/>
    <mergeCell ref="G49:I50"/>
    <mergeCell ref="B44:D45"/>
    <mergeCell ref="E44:F45"/>
    <mergeCell ref="G37:I38"/>
    <mergeCell ref="G39:I40"/>
    <mergeCell ref="G41:I42"/>
    <mergeCell ref="B43:I43"/>
    <mergeCell ref="G44:I45"/>
    <mergeCell ref="B37:D38"/>
    <mergeCell ref="B39:D40"/>
    <mergeCell ref="B41:D42"/>
    <mergeCell ref="BJ1:BS1"/>
    <mergeCell ref="A1:G1"/>
    <mergeCell ref="V1:AE1"/>
    <mergeCell ref="AF1:AO1"/>
    <mergeCell ref="AP1:AY1"/>
    <mergeCell ref="AZ1:BI1"/>
    <mergeCell ref="B6:L6"/>
    <mergeCell ref="B8:L8"/>
    <mergeCell ref="E35:F36"/>
    <mergeCell ref="B35:D36"/>
    <mergeCell ref="G32:I33"/>
    <mergeCell ref="B34:I34"/>
    <mergeCell ref="G35:I36"/>
    <mergeCell ref="B30:D31"/>
    <mergeCell ref="B32:D33"/>
    <mergeCell ref="FZ1:GI1"/>
    <mergeCell ref="BT1:CC1"/>
    <mergeCell ref="CD1:CM1"/>
    <mergeCell ref="CN1:CW1"/>
    <mergeCell ref="CX1:DG1"/>
    <mergeCell ref="DH1:DQ1"/>
    <mergeCell ref="DR1:EA1"/>
    <mergeCell ref="EB1:EK1"/>
    <mergeCell ref="EL1:EU1"/>
    <mergeCell ref="EV1:FE1"/>
    <mergeCell ref="FF1:FO1"/>
    <mergeCell ref="FP1:FY1"/>
    <mergeCell ref="IR1:IV1"/>
    <mergeCell ref="A2:G2"/>
    <mergeCell ref="V2:AE2"/>
    <mergeCell ref="AF2:AO2"/>
    <mergeCell ref="AP2:AY2"/>
    <mergeCell ref="AZ2:BI2"/>
    <mergeCell ref="BJ2:BS2"/>
    <mergeCell ref="BT2:CC2"/>
    <mergeCell ref="CD2:CM2"/>
    <mergeCell ref="CN2:CW2"/>
    <mergeCell ref="GJ1:GS1"/>
    <mergeCell ref="GT1:HC1"/>
    <mergeCell ref="HD1:HM1"/>
    <mergeCell ref="HN1:HW1"/>
    <mergeCell ref="HX1:IG1"/>
    <mergeCell ref="IH1:IQ1"/>
    <mergeCell ref="IH2:IQ2"/>
    <mergeCell ref="IR2:IV2"/>
    <mergeCell ref="FF2:FO2"/>
    <mergeCell ref="FP2:FY2"/>
    <mergeCell ref="FZ2:GI2"/>
    <mergeCell ref="GJ2:GS2"/>
    <mergeCell ref="GT2:HC2"/>
    <mergeCell ref="HD2:HM2"/>
    <mergeCell ref="HN2:HW2"/>
    <mergeCell ref="HX2:IG2"/>
    <mergeCell ref="D82:F82"/>
    <mergeCell ref="G82:I82"/>
    <mergeCell ref="B18:K18"/>
    <mergeCell ref="B24:D26"/>
    <mergeCell ref="E25:F26"/>
    <mergeCell ref="B28:D29"/>
    <mergeCell ref="CX2:DG2"/>
    <mergeCell ref="DH2:DQ2"/>
    <mergeCell ref="DR2:EA2"/>
    <mergeCell ref="EB2:EK2"/>
    <mergeCell ref="EL2:EU2"/>
    <mergeCell ref="EV2:FE2"/>
    <mergeCell ref="B9:L9"/>
    <mergeCell ref="B15:L15"/>
    <mergeCell ref="B16:C16"/>
    <mergeCell ref="E28:F29"/>
    <mergeCell ref="E30:F31"/>
    <mergeCell ref="E32:F33"/>
    <mergeCell ref="E37:F38"/>
    <mergeCell ref="E39:F40"/>
    <mergeCell ref="E41:F42"/>
    <mergeCell ref="B46:I46"/>
  </mergeCells>
  <pageMargins left="0" right="0" top="0.25" bottom="0.25" header="0.3" footer="0.3"/>
  <pageSetup scale="53" fitToHeight="4" orientation="portrait" r:id="rId1"/>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ED72103DDA92B4FB3F1D9114722424E" ma:contentTypeVersion="15" ma:contentTypeDescription="Create a new document." ma:contentTypeScope="" ma:versionID="4f018f4518db604c1dcaa392042893ea">
  <xsd:schema xmlns:xsd="http://www.w3.org/2001/XMLSchema" xmlns:xs="http://www.w3.org/2001/XMLSchema" xmlns:p="http://schemas.microsoft.com/office/2006/metadata/properties" xmlns:ns1="http://schemas.microsoft.com/sharepoint/v3" xmlns:ns3="7ac4cd41-1395-4332-a5e1-9efbc9bce690" xmlns:ns4="ed8292d4-9309-4563-bfe8-8570f42c79b6" targetNamespace="http://schemas.microsoft.com/office/2006/metadata/properties" ma:root="true" ma:fieldsID="47b0fc59fb0f99a1ca5efe721b46fd7a" ns1:_="" ns3:_="" ns4:_="">
    <xsd:import namespace="http://schemas.microsoft.com/sharepoint/v3"/>
    <xsd:import namespace="7ac4cd41-1395-4332-a5e1-9efbc9bce690"/>
    <xsd:import namespace="ed8292d4-9309-4563-bfe8-8570f42c79b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DateTaken" minOccurs="0"/>
                <xsd:element ref="ns4:MediaServiceOCR" minOccurs="0"/>
                <xsd:element ref="ns4: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c4cd41-1395-4332-a5e1-9efbc9bce69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8292d4-9309-4563-bfe8-8570f42c79b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1AC757BE-62F1-4165-854E-B618A2717E15}">
  <ds:schemaRefs>
    <ds:schemaRef ds:uri="http://schemas.microsoft.com/sharepoint/v3/contenttype/forms"/>
  </ds:schemaRefs>
</ds:datastoreItem>
</file>

<file path=customXml/itemProps2.xml><?xml version="1.0" encoding="utf-8"?>
<ds:datastoreItem xmlns:ds="http://schemas.openxmlformats.org/officeDocument/2006/customXml" ds:itemID="{E57E9190-E7D5-418F-BDD7-F8AC674AAE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ac4cd41-1395-4332-a5e1-9efbc9bce690"/>
    <ds:schemaRef ds:uri="ed8292d4-9309-4563-bfe8-8570f42c79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0349B90-4A22-4C25-8F85-FE9097FC7D91}">
  <ds:schemaRefs>
    <ds:schemaRef ds:uri="http://schemas.openxmlformats.org/package/2006/metadata/core-properties"/>
    <ds:schemaRef ds:uri="http://purl.org/dc/elements/1.1/"/>
    <ds:schemaRef ds:uri="http://schemas.microsoft.com/office/infopath/2007/PartnerControls"/>
    <ds:schemaRef ds:uri="7ac4cd41-1395-4332-a5e1-9efbc9bce690"/>
    <ds:schemaRef ds:uri="http://schemas.microsoft.com/office/2006/metadata/properties"/>
    <ds:schemaRef ds:uri="http://purl.org/dc/terms/"/>
    <ds:schemaRef ds:uri="http://schemas.microsoft.com/sharepoint/v3"/>
    <ds:schemaRef ds:uri="http://schemas.microsoft.com/office/2006/documentManagement/types"/>
    <ds:schemaRef ds:uri="ed8292d4-9309-4563-bfe8-8570f42c79b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132</vt:i4>
      </vt:variant>
    </vt:vector>
  </HeadingPairs>
  <TitlesOfParts>
    <vt:vector size="139" baseType="lpstr">
      <vt:lpstr>Customer Information</vt:lpstr>
      <vt:lpstr>Ts and Cs</vt:lpstr>
      <vt:lpstr>Required Documents</vt:lpstr>
      <vt:lpstr>Guidelines </vt:lpstr>
      <vt:lpstr>Glossary</vt:lpstr>
      <vt:lpstr>Insulation Eligibility</vt:lpstr>
      <vt:lpstr>Worksheet</vt:lpstr>
      <vt:lpstr>AC_Types</vt:lpstr>
      <vt:lpstr>Air_Flow_Refernce_Tabs</vt:lpstr>
      <vt:lpstr>AirCurtainsInputs</vt:lpstr>
      <vt:lpstr>AirSealingInputs</vt:lpstr>
      <vt:lpstr>'HPwES H&amp;S'!attic</vt:lpstr>
      <vt:lpstr>attic_code</vt:lpstr>
      <vt:lpstr>attic_rvalues</vt:lpstr>
      <vt:lpstr>atticins</vt:lpstr>
      <vt:lpstr>bypass</vt:lpstr>
      <vt:lpstr>bypass_codes</vt:lpstr>
      <vt:lpstr>Color</vt:lpstr>
      <vt:lpstr>Color2</vt:lpstr>
      <vt:lpstr>Combustion_Equip</vt:lpstr>
      <vt:lpstr>CON</vt:lpstr>
      <vt:lpstr>CON_CODES</vt:lpstr>
      <vt:lpstr>condition</vt:lpstr>
      <vt:lpstr>Conditioned</vt:lpstr>
      <vt:lpstr>Conditioned_Unconditioned</vt:lpstr>
      <vt:lpstr>Conditioned_Unconditioned2</vt:lpstr>
      <vt:lpstr>Cooling_Source</vt:lpstr>
      <vt:lpstr>Count</vt:lpstr>
      <vt:lpstr>CrawlSpace_Duct_Attribute</vt:lpstr>
      <vt:lpstr>DAC</vt:lpstr>
      <vt:lpstr>DHW_Equipment</vt:lpstr>
      <vt:lpstr>Distribution</vt:lpstr>
      <vt:lpstr>Duct_Attribute</vt:lpstr>
      <vt:lpstr>Duct_HeatingCooling_System</vt:lpstr>
      <vt:lpstr>Duct_Location</vt:lpstr>
      <vt:lpstr>DuctSealingInputs</vt:lpstr>
      <vt:lpstr>Existing_Equipment</vt:lpstr>
      <vt:lpstr>Fuel_Type</vt:lpstr>
      <vt:lpstr>Heating_Source</vt:lpstr>
      <vt:lpstr>Hinge</vt:lpstr>
      <vt:lpstr>HP_Content2</vt:lpstr>
      <vt:lpstr>HP_Unit1_QI_CA</vt:lpstr>
      <vt:lpstr>HP_Unit1_QI_kWh</vt:lpstr>
      <vt:lpstr>HVACInputs</vt:lpstr>
      <vt:lpstr>Import_All</vt:lpstr>
      <vt:lpstr>Import_CH</vt:lpstr>
      <vt:lpstr>Insulation_Existing_RValue</vt:lpstr>
      <vt:lpstr>Insulation_Installed_RValue</vt:lpstr>
      <vt:lpstr>Insulation_Location</vt:lpstr>
      <vt:lpstr>InsulationInputs</vt:lpstr>
      <vt:lpstr>insulations</vt:lpstr>
      <vt:lpstr>Liq_Line_Temp</vt:lpstr>
      <vt:lpstr>Location_Code</vt:lpstr>
      <vt:lpstr>Locations_2</vt:lpstr>
      <vt:lpstr>Manufacturers</vt:lpstr>
      <vt:lpstr>Manufacturers2</vt:lpstr>
      <vt:lpstr>notes</vt:lpstr>
      <vt:lpstr>'Ts and Cs'!OLE_LINK2</vt:lpstr>
      <vt:lpstr>PASS_FAIL2</vt:lpstr>
      <vt:lpstr>PipeInsulationInputs</vt:lpstr>
      <vt:lpstr>'AIRFLOW FORM 10'!Print_Area</vt:lpstr>
      <vt:lpstr>'AIRFLOW FORM 2'!Print_Area</vt:lpstr>
      <vt:lpstr>'AIRFLOW FORM 3'!Print_Area</vt:lpstr>
      <vt:lpstr>'AIRFLOW FORM 4'!Print_Area</vt:lpstr>
      <vt:lpstr>'AIRFLOW FORM 5'!Print_Area</vt:lpstr>
      <vt:lpstr>'AIRFLOW FORM 6'!Print_Area</vt:lpstr>
      <vt:lpstr>'AIRFLOW FORM 7'!Print_Area</vt:lpstr>
      <vt:lpstr>'AIRFLOW FORM 8'!Print_Area</vt:lpstr>
      <vt:lpstr>'AIRFLOW FORM 9'!Print_Area</vt:lpstr>
      <vt:lpstr>'Application Form'!Print_Area</vt:lpstr>
      <vt:lpstr>'HPwES H&amp;S'!Print_Area</vt:lpstr>
      <vt:lpstr>'Inspection Form'!Print_Area</vt:lpstr>
      <vt:lpstr>'Project Completion Form'!Print_Area</vt:lpstr>
      <vt:lpstr>'Project Completion Form HPwES'!Print_Area</vt:lpstr>
      <vt:lpstr>'Required Documents'!Print_Area</vt:lpstr>
      <vt:lpstr>'Smart T-Stats'!Print_Area</vt:lpstr>
      <vt:lpstr>'Ts and Cs'!Print_Area</vt:lpstr>
      <vt:lpstr>Worksheet!Print_Area</vt:lpstr>
      <vt:lpstr>'HPwES H&amp;S'!Print_Titles</vt:lpstr>
      <vt:lpstr>rvalues</vt:lpstr>
      <vt:lpstr>Sat_Temp</vt:lpstr>
      <vt:lpstr>SatTemp_SuperHeat</vt:lpstr>
      <vt:lpstr>Smart_Thermostat</vt:lpstr>
      <vt:lpstr>Start_ApprovedStats</vt:lpstr>
      <vt:lpstr>Start_Models</vt:lpstr>
      <vt:lpstr>True_Flow_CFM_Measured</vt:lpstr>
      <vt:lpstr>Tstat_Data</vt:lpstr>
      <vt:lpstr>Tstat_Manufacturers</vt:lpstr>
      <vt:lpstr>'Inspection Form'!Unit1_QI_CA</vt:lpstr>
      <vt:lpstr>Unit1_QI_CA</vt:lpstr>
      <vt:lpstr>'Inspection Form'!Unit1_QI_kWh</vt:lpstr>
      <vt:lpstr>Unit1_QI_kWh</vt:lpstr>
      <vt:lpstr>'Inspection Form'!Unit1_QI_RS</vt:lpstr>
      <vt:lpstr>Unit1_QI_RS</vt:lpstr>
      <vt:lpstr>Unit10_QI_CA</vt:lpstr>
      <vt:lpstr>Unit10_QI_kWh</vt:lpstr>
      <vt:lpstr>Unit10_QI_RS</vt:lpstr>
      <vt:lpstr>'Inspection Form'!Unit2_QI_CA</vt:lpstr>
      <vt:lpstr>Unit2_QI_CA</vt:lpstr>
      <vt:lpstr>'Inspection Form'!Unit2_QI_kWh</vt:lpstr>
      <vt:lpstr>Unit2_QI_kWh</vt:lpstr>
      <vt:lpstr>'Inspection Form'!Unit2_QI_RS</vt:lpstr>
      <vt:lpstr>Unit2_QI_RS</vt:lpstr>
      <vt:lpstr>'Inspection Form'!Unit3_QI_CA</vt:lpstr>
      <vt:lpstr>Unit3_QI_CA</vt:lpstr>
      <vt:lpstr>'Inspection Form'!Unit3_QI_kWh</vt:lpstr>
      <vt:lpstr>Unit3_QI_kWh</vt:lpstr>
      <vt:lpstr>'Inspection Form'!Unit3_QI_RS</vt:lpstr>
      <vt:lpstr>Unit3_QI_RS</vt:lpstr>
      <vt:lpstr>'Inspection Form'!Unit4_QI_CA</vt:lpstr>
      <vt:lpstr>Unit4_QI_CA</vt:lpstr>
      <vt:lpstr>'Inspection Form'!Unit4_QI_kWh</vt:lpstr>
      <vt:lpstr>Unit4_QI_kWh</vt:lpstr>
      <vt:lpstr>'Inspection Form'!Unit4_QI_RS</vt:lpstr>
      <vt:lpstr>Unit4_QI_RS</vt:lpstr>
      <vt:lpstr>'Inspection Form'!Unit5_QI_CA</vt:lpstr>
      <vt:lpstr>Unit5_QI_CA</vt:lpstr>
      <vt:lpstr>'Inspection Form'!Unit5_QI_kWh</vt:lpstr>
      <vt:lpstr>Unit5_QI_kWh</vt:lpstr>
      <vt:lpstr>'Inspection Form'!Unit5_QI_RS</vt:lpstr>
      <vt:lpstr>Unit5_QI_RS</vt:lpstr>
      <vt:lpstr>Unit6_QI_CA</vt:lpstr>
      <vt:lpstr>Unit6_QI_kWh</vt:lpstr>
      <vt:lpstr>Unit6_QI_RS</vt:lpstr>
      <vt:lpstr>Unit7_QI_CA</vt:lpstr>
      <vt:lpstr>Unit7_QI_kWh</vt:lpstr>
      <vt:lpstr>Unit7_QI_RS</vt:lpstr>
      <vt:lpstr>Unit8_QI_CA</vt:lpstr>
      <vt:lpstr>Unit8_QI_kWh</vt:lpstr>
      <vt:lpstr>Unit8_QI_RS</vt:lpstr>
      <vt:lpstr>Unit9_QI_CA</vt:lpstr>
      <vt:lpstr>Unit9_QI_kWh</vt:lpstr>
      <vt:lpstr>Unit9_QI_RS</vt:lpstr>
      <vt:lpstr>Venting</vt:lpstr>
      <vt:lpstr>WaterHeater_Source</vt:lpstr>
      <vt:lpstr>'HPwES H&amp;S'!YES_NO</vt:lpstr>
      <vt:lpstr>'Inspection Form'!YES_NO</vt:lpstr>
      <vt:lpstr>Worksheet!YES_NO</vt:lpstr>
      <vt:lpstr>YES_NO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MRush@trccompanies.com</dc:creator>
  <cp:keywords>Unrestricted</cp:keywords>
  <cp:lastModifiedBy>Dean, Evelyn</cp:lastModifiedBy>
  <cp:lastPrinted>2020-04-27T17:17:32Z</cp:lastPrinted>
  <dcterms:created xsi:type="dcterms:W3CDTF">2013-11-05T18:43:11Z</dcterms:created>
  <dcterms:modified xsi:type="dcterms:W3CDTF">2024-12-27T15:24:32Z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ProgramsCount">
    <vt:i4>0</vt:i4>
  </property>
  <property fmtid="{D5CDD505-2E9C-101B-9397-08002B2CF9AE}" pid="3" name="LM SIP Document Sensitivity">
    <vt:lpwstr/>
  </property>
  <property fmtid="{D5CDD505-2E9C-101B-9397-08002B2CF9AE}" pid="4" name="Document Author">
    <vt:lpwstr>US\e338671</vt:lpwstr>
  </property>
  <property fmtid="{D5CDD505-2E9C-101B-9397-08002B2CF9AE}" pid="5" name="Document Sensitivity">
    <vt:lpwstr>1</vt:lpwstr>
  </property>
  <property fmtid="{D5CDD505-2E9C-101B-9397-08002B2CF9AE}" pid="6" name="ThirdParty">
    <vt:lpwstr/>
  </property>
  <property fmtid="{D5CDD505-2E9C-101B-9397-08002B2CF9AE}" pid="7" name="OCI Restriction">
    <vt:bool>false</vt:bool>
  </property>
  <property fmtid="{D5CDD505-2E9C-101B-9397-08002B2CF9AE}" pid="8" name="OCI Additional Info">
    <vt:lpwstr/>
  </property>
  <property fmtid="{D5CDD505-2E9C-101B-9397-08002B2CF9AE}" pid="9" name="Allow Header Overwrite">
    <vt:bool>true</vt:bool>
  </property>
  <property fmtid="{D5CDD505-2E9C-101B-9397-08002B2CF9AE}" pid="10" name="Allow Footer Overwrite">
    <vt:bool>true</vt:bool>
  </property>
  <property fmtid="{D5CDD505-2E9C-101B-9397-08002B2CF9AE}" pid="11" name="Multiple Selected">
    <vt:lpwstr>-1</vt:lpwstr>
  </property>
  <property fmtid="{D5CDD505-2E9C-101B-9397-08002B2CF9AE}" pid="12" name="SIPLongWording">
    <vt:lpwstr>_x000d_
_x000d_
</vt:lpwstr>
  </property>
  <property fmtid="{D5CDD505-2E9C-101B-9397-08002B2CF9AE}" pid="13" name="ExpCountry">
    <vt:lpwstr/>
  </property>
  <property fmtid="{D5CDD505-2E9C-101B-9397-08002B2CF9AE}" pid="14" name="ContentTypeId">
    <vt:lpwstr>0x0101008ED72103DDA92B4FB3F1D9114722424E</vt:lpwstr>
  </property>
</Properties>
</file>